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85" windowWidth="25095" windowHeight="12090"/>
  </bookViews>
  <sheets>
    <sheet name="Опросный лист термоманометр" sheetId="2" r:id="rId1"/>
    <sheet name="Лист1" sheetId="4" state="hidden" r:id="rId2"/>
    <sheet name="Справка" sheetId="3" r:id="rId3"/>
  </sheets>
  <definedNames>
    <definedName name="Test">#REF!</definedName>
    <definedName name="Арматура">'Опросный лист термоманометр'!#REF!</definedName>
    <definedName name="Без_пустых">IFERROR(INDEX(#REF!,SMALL(IF(#REF!&lt;&gt;#REF!,ROW(INDIRECT("1:"&amp;ROWS(#REF!))),""),ROW(INDIRECT("1:"&amp;ROWS(#REF!))))),"")</definedName>
    <definedName name="Без_пустых1">IFERROR(VLOOKUP(ROW(#REF!),#REF!,2,0),"")</definedName>
    <definedName name="Гильза">OFFSET('Опросный лист термоманометр'!#REF!,0,'Опросный лист термоманометр'!#REF!-1,,1)</definedName>
    <definedName name="Давление_ВПИ">'Опросный лист термоманометр'!#REF!</definedName>
    <definedName name="Давление_Погрешность">'Опросный лист термоманометр'!#REF!</definedName>
    <definedName name="Исполнение">'Опросный лист термоманометр'!#REF!</definedName>
    <definedName name="Кабель_Длина">OFFSET('Опросный лист термоманометр'!#REF!,0,'Опросный лист термоманометр'!#REF!-1,,1)</definedName>
    <definedName name="Кабель_Защита">OFFSET('Опросный лист термоманометр'!#REF!,0,'Опросный лист термоманометр'!#REF!-1,,1)</definedName>
    <definedName name="Кабель_Подключение">OFFSET('Опросный лист термоманометр'!#REF!,0,'Опросный лист термоманометр'!#REF!-1,,1)</definedName>
    <definedName name="Конструктивные_исполнения_по_месту_измерения_температуры">Справка!$B$3</definedName>
    <definedName name="Конструктивные_исполнения_термощупов">Справка!$B$6</definedName>
    <definedName name="_xlnm.Print_Area" localSheetId="0">'Опросный лист термоманометр'!$A$1:$F$44</definedName>
    <definedName name="_xlnm.Print_Area" localSheetId="2">Справка!$A$1:$E$20</definedName>
    <definedName name="Поверка">'Опросный лист термоманометр'!#REF!</definedName>
    <definedName name="Пример_компоновки_арматуры_присоединительной">Справка!$B$21</definedName>
    <definedName name="Резьба">'Опросный лист термоманометр'!#REF!</definedName>
    <definedName name="Способ_подключения_кабеля_к_термощупу">Справка!$B$17</definedName>
    <definedName name="Способы_крепления_термощупа">Справка!$B$13</definedName>
    <definedName name="Температура_Диапазон">OFFSET('Опросный лист термоманометр'!#REF!,0,'Опросный лист термоманометр'!#REF!-1,,1)</definedName>
    <definedName name="Температура_Место">'Опросный лист термоманометр'!#REF!</definedName>
    <definedName name="Температура_Погрешность">OFFSET('Опросный лист термоманометр'!#REF!,0,'Опросный лист термоманометр'!#REF!-1,,1)</definedName>
    <definedName name="Хранение_передача">'Опросный лист термоманометр'!#REF!</definedName>
    <definedName name="Щуп_Диаметр">OFFSET('Опросный лист термоманометр'!#REF!,0,'Опросный лист термоманометр'!#REF!-1,,1)</definedName>
    <definedName name="Щуп_Длина">OFFSET('Опросный лист термоманометр'!#REF!,0,'Опросный лист термоманометр'!#REF!-1,,1)</definedName>
    <definedName name="Щуп_Крепление">OFFSET('Опросный лист термоманометр'!#REF!,0,'Опросный лист термоманометр'!#REF!-1,,1)</definedName>
  </definedNames>
  <calcPr calcId="144525"/>
</workbook>
</file>

<file path=xl/calcChain.xml><?xml version="1.0" encoding="utf-8"?>
<calcChain xmlns="http://schemas.openxmlformats.org/spreadsheetml/2006/main">
  <c r="A13" i="2" l="1"/>
  <c r="A8" i="2"/>
  <c r="A7" i="2"/>
  <c r="C12" i="2"/>
  <c r="C11" i="2"/>
  <c r="C7" i="2"/>
  <c r="C15" i="2"/>
  <c r="C14" i="2"/>
  <c r="C13" i="2"/>
  <c r="C8" i="2"/>
  <c r="E68" i="4" l="1"/>
  <c r="D68" i="4" l="1"/>
  <c r="C126" i="4" l="1"/>
  <c r="B126" i="4"/>
  <c r="E69" i="4" l="1"/>
  <c r="L103" i="4" l="1"/>
  <c r="L104" i="4"/>
  <c r="J103" i="4"/>
  <c r="J104" i="4"/>
  <c r="M103" i="4"/>
  <c r="M104" i="4"/>
  <c r="E36" i="4" l="1"/>
  <c r="D69" i="4"/>
  <c r="B67" i="4" s="1"/>
  <c r="E56" i="4" l="1"/>
  <c r="G52" i="4"/>
  <c r="G58" i="4"/>
  <c r="G57" i="4"/>
  <c r="G56" i="4"/>
  <c r="G55" i="4"/>
  <c r="G53" i="4"/>
  <c r="G54" i="4"/>
  <c r="F52" i="4" l="1"/>
  <c r="D36" i="4"/>
  <c r="E37" i="4"/>
  <c r="E38" i="4"/>
  <c r="E39" i="4"/>
  <c r="E40" i="4"/>
  <c r="D40" i="4"/>
  <c r="D39" i="4"/>
  <c r="D38" i="4"/>
  <c r="D37" i="4"/>
  <c r="D101" i="4" l="1"/>
  <c r="D102" i="4"/>
  <c r="E102" i="4" s="1"/>
  <c r="D103" i="4"/>
  <c r="D104" i="4"/>
  <c r="E104" i="4" s="1"/>
  <c r="D80" i="4"/>
  <c r="D84" i="4"/>
  <c r="D76" i="4"/>
  <c r="D81" i="4"/>
  <c r="D73" i="4"/>
  <c r="B72" i="4" s="1"/>
  <c r="D82" i="4"/>
  <c r="D74" i="4"/>
  <c r="D83" i="4"/>
  <c r="D75" i="4"/>
  <c r="D56" i="4"/>
  <c r="D52" i="4"/>
  <c r="E52" i="4" s="1"/>
  <c r="D55" i="4"/>
  <c r="E55" i="4" s="1"/>
  <c r="D54" i="4"/>
  <c r="D53" i="4"/>
  <c r="E53" i="4" s="1"/>
  <c r="B144" i="4"/>
  <c r="E103" i="4" l="1"/>
  <c r="E54" i="4"/>
  <c r="B51" i="4"/>
  <c r="C145" i="4"/>
  <c r="C24" i="2" s="1"/>
  <c r="C144" i="4"/>
  <c r="C51" i="4" l="1"/>
  <c r="J63" i="4"/>
  <c r="I64" i="4"/>
  <c r="I63" i="4"/>
  <c r="J64" i="4"/>
  <c r="D64" i="4" s="1"/>
  <c r="I62" i="4"/>
  <c r="J62" i="4"/>
  <c r="A163" i="4"/>
  <c r="C40" i="2" s="1"/>
  <c r="D63" i="4" l="1"/>
  <c r="D62" i="4"/>
  <c r="D139" i="4"/>
  <c r="D140" i="4"/>
  <c r="D141" i="4"/>
  <c r="D138" i="4"/>
  <c r="B100" i="4"/>
  <c r="D89" i="4"/>
  <c r="D90" i="4"/>
  <c r="D91" i="4"/>
  <c r="D92" i="4"/>
  <c r="D93" i="4"/>
  <c r="D94" i="4"/>
  <c r="D95" i="4"/>
  <c r="D96" i="4"/>
  <c r="D97" i="4"/>
  <c r="D88" i="4"/>
  <c r="E81" i="4"/>
  <c r="E82" i="4"/>
  <c r="E83" i="4"/>
  <c r="E84" i="4"/>
  <c r="B29" i="4" l="1"/>
  <c r="C29" i="4" l="1"/>
  <c r="E62" i="4" l="1"/>
  <c r="E63" i="4"/>
  <c r="E64" i="4"/>
  <c r="B61" i="4" l="1"/>
  <c r="C61" i="4" s="1"/>
  <c r="E117" i="4" l="1"/>
  <c r="E26" i="4"/>
  <c r="B132" i="4" l="1"/>
  <c r="C132" i="4" s="1"/>
  <c r="C133" i="4" l="1"/>
  <c r="E97" i="4"/>
  <c r="E17" i="4" l="1"/>
  <c r="B107" i="4" l="1"/>
  <c r="C107" i="4" s="1"/>
  <c r="B114" i="4" l="1"/>
  <c r="C114" i="4" s="1"/>
  <c r="E90" i="4"/>
  <c r="E91" i="4"/>
  <c r="E92" i="4"/>
  <c r="E93" i="4"/>
  <c r="E94" i="4"/>
  <c r="E95" i="4"/>
  <c r="E96" i="4"/>
  <c r="E73" i="4"/>
  <c r="E74" i="4"/>
  <c r="E75" i="4"/>
  <c r="E76" i="4"/>
  <c r="E80" i="4" l="1"/>
  <c r="E89" i="4"/>
  <c r="B87" i="4"/>
  <c r="E88" i="4"/>
  <c r="B79" i="4"/>
  <c r="B137" i="4"/>
  <c r="E138" i="4" s="1"/>
  <c r="C72" i="4" l="1"/>
  <c r="C87" i="4"/>
  <c r="E139" i="4"/>
  <c r="E140" i="4"/>
  <c r="E141" i="4"/>
  <c r="C79" i="4"/>
  <c r="C80" i="4" s="1"/>
  <c r="B20" i="4"/>
  <c r="C20" i="4" s="1"/>
  <c r="B5" i="4"/>
  <c r="C5" i="4" s="1"/>
  <c r="C73" i="4" l="1"/>
  <c r="C137" i="4"/>
  <c r="A162" i="4" s="1"/>
  <c r="C39" i="2" s="1"/>
  <c r="C100" i="4"/>
  <c r="B120" i="4"/>
  <c r="C121" i="4" s="1"/>
  <c r="C120" i="4" l="1"/>
  <c r="C43" i="2"/>
  <c r="A161" i="4" l="1"/>
  <c r="B35" i="4"/>
  <c r="D44" i="4" l="1"/>
  <c r="D48" i="4"/>
  <c r="D45" i="4"/>
  <c r="D46" i="4"/>
  <c r="D47" i="4"/>
  <c r="C35" i="4"/>
  <c r="C67" i="4" l="1"/>
  <c r="A158" i="4" s="1"/>
  <c r="B43" i="4"/>
  <c r="C43" i="4" s="1"/>
  <c r="C42" i="2" s="1"/>
  <c r="C37" i="2" l="1"/>
</calcChain>
</file>

<file path=xl/comments1.xml><?xml version="1.0" encoding="utf-8"?>
<comments xmlns="http://schemas.openxmlformats.org/spreadsheetml/2006/main">
  <authors>
    <author>Кукина Ольга</author>
  </authors>
  <commentList>
    <comment ref="A6" authorId="0">
      <text>
        <r>
          <rPr>
            <sz val="9"/>
            <color indexed="81"/>
            <rFont val="Tahoma"/>
            <family val="2"/>
            <charset val="204"/>
          </rPr>
          <t>Нажмите для справки</t>
        </r>
      </text>
    </comment>
    <comment ref="A7" authorId="0">
      <text>
        <r>
          <rPr>
            <sz val="9"/>
            <color indexed="81"/>
            <rFont val="Tahoma"/>
            <family val="2"/>
            <charset val="204"/>
          </rPr>
          <t>Нажмите для справки</t>
        </r>
      </text>
    </comment>
    <comment ref="A8" authorId="0">
      <text>
        <r>
          <rPr>
            <sz val="9"/>
            <color indexed="81"/>
            <rFont val="Tahoma"/>
            <family val="2"/>
            <charset val="204"/>
          </rPr>
          <t>Нажмите для справки</t>
        </r>
      </text>
    </comment>
    <comment ref="A13" authorId="0">
      <text>
        <r>
          <rPr>
            <sz val="9"/>
            <color indexed="81"/>
            <rFont val="Tahoma"/>
            <family val="2"/>
            <charset val="204"/>
          </rPr>
          <t>Нажмите для справки</t>
        </r>
      </text>
    </comment>
    <comment ref="A23" authorId="0">
      <text>
        <r>
          <rPr>
            <sz val="9"/>
            <color indexed="81"/>
            <rFont val="Tahoma"/>
            <family val="2"/>
            <charset val="204"/>
          </rPr>
          <t>Нажмите для справки</t>
        </r>
      </text>
    </comment>
  </commentList>
</comments>
</file>

<file path=xl/sharedStrings.xml><?xml version="1.0" encoding="utf-8"?>
<sst xmlns="http://schemas.openxmlformats.org/spreadsheetml/2006/main" count="402" uniqueCount="152">
  <si>
    <t>Информацию подготовил:</t>
  </si>
  <si>
    <t>Фамилия, Имя, Отчество</t>
  </si>
  <si>
    <t>Компания</t>
  </si>
  <si>
    <t>Почтовый адрес</t>
  </si>
  <si>
    <t>Телефон/Факс</t>
  </si>
  <si>
    <t xml:space="preserve">Опросный лист на Термоманометр "Автон" </t>
  </si>
  <si>
    <t>Канал измерения давления</t>
  </si>
  <si>
    <t>Канал измерения температуры</t>
  </si>
  <si>
    <t>Верхний предел диапазона измерения абсолютного давления, МПа</t>
  </si>
  <si>
    <t>Исполнение</t>
  </si>
  <si>
    <t>Присоединительная резьба</t>
  </si>
  <si>
    <t>другая</t>
  </si>
  <si>
    <t>обычное</t>
  </si>
  <si>
    <t>М20х1.5</t>
  </si>
  <si>
    <t>G1/2</t>
  </si>
  <si>
    <t>Дополнительные требования</t>
  </si>
  <si>
    <t>другой</t>
  </si>
  <si>
    <t>Если выбрано "другое", то впишите значение</t>
  </si>
  <si>
    <t>Код для заказа</t>
  </si>
  <si>
    <t>не требуется</t>
  </si>
  <si>
    <t>Защита кабеля</t>
  </si>
  <si>
    <t>без дополнительной защиты</t>
  </si>
  <si>
    <t>труба гофрированная полимерная</t>
  </si>
  <si>
    <t>Свидетельство о поверке</t>
  </si>
  <si>
    <t>Гильза с присоединительной резьбой</t>
  </si>
  <si>
    <t>штуцер подвижный</t>
  </si>
  <si>
    <t>штуцер приварной</t>
  </si>
  <si>
    <t>штуцер подпружиненный</t>
  </si>
  <si>
    <t>фланец</t>
  </si>
  <si>
    <t xml:space="preserve">другая </t>
  </si>
  <si>
    <t>выносной погружной термощуп (жидкость или газ)</t>
  </si>
  <si>
    <t>встроенный погружной термощуп (жидкость или газ)</t>
  </si>
  <si>
    <t>Диапазон измерения, °C</t>
  </si>
  <si>
    <t>Предел допускаемой абсолютной погрешности, °C</t>
  </si>
  <si>
    <t xml:space="preserve">Предел допускаемой основной приведенной погрешности, % </t>
  </si>
  <si>
    <t>Выбранный вариант</t>
  </si>
  <si>
    <t>индекс</t>
  </si>
  <si>
    <t>значение</t>
  </si>
  <si>
    <t>Исходные данные для выбора</t>
  </si>
  <si>
    <t>В спецификацию</t>
  </si>
  <si>
    <t/>
  </si>
  <si>
    <t>Способ подключения кабеля к термощупу</t>
  </si>
  <si>
    <t>требуется</t>
  </si>
  <si>
    <t>?</t>
  </si>
  <si>
    <t>Способы крепления термощупа:</t>
  </si>
  <si>
    <t>Справка</t>
  </si>
  <si>
    <t>бескорпусной с выводами</t>
  </si>
  <si>
    <t>коммутационная (клеммная) головка</t>
  </si>
  <si>
    <t>Количество, шт.</t>
  </si>
  <si>
    <t>коррозионностойкое «Ор» (по РТМ 311.001-90)</t>
  </si>
  <si>
    <t>коррозионностойкое «Астр» (по РТМ 311.001-90)</t>
  </si>
  <si>
    <t>коррозионностойкое (К3 по ГОСТ 13846-89)</t>
  </si>
  <si>
    <t>Столбец1</t>
  </si>
  <si>
    <t>Столбец2</t>
  </si>
  <si>
    <t>, К</t>
  </si>
  <si>
    <t>, «Ор»</t>
  </si>
  <si>
    <t>, «Астр»</t>
  </si>
  <si>
    <t>0.6МПа</t>
  </si>
  <si>
    <t>1МПа</t>
  </si>
  <si>
    <t>1.6МПа</t>
  </si>
  <si>
    <t>2.5МПа</t>
  </si>
  <si>
    <t>4МПа</t>
  </si>
  <si>
    <t>6МПа</t>
  </si>
  <si>
    <t>10МПа</t>
  </si>
  <si>
    <t>16МПа</t>
  </si>
  <si>
    <t>25МПа</t>
  </si>
  <si>
    <t>40МПа</t>
  </si>
  <si>
    <t>60МПа</t>
  </si>
  <si>
    <t>, 0.15%</t>
  </si>
  <si>
    <t>, 0.25%</t>
  </si>
  <si>
    <t>, 0.5%</t>
  </si>
  <si>
    <t>, 1%</t>
  </si>
  <si>
    <t>, 1.5%</t>
  </si>
  <si>
    <t>, П</t>
  </si>
  <si>
    <t>, М20х1.5</t>
  </si>
  <si>
    <t>, G1/2</t>
  </si>
  <si>
    <t>Код для заказа комплекса:</t>
  </si>
  <si>
    <t>Комплектация:</t>
  </si>
  <si>
    <t>-40..+85</t>
  </si>
  <si>
    <t>-40..+125</t>
  </si>
  <si>
    <t>-40..+250</t>
  </si>
  <si>
    <t>-40..+300</t>
  </si>
  <si>
    <t>ввв</t>
  </si>
  <si>
    <t>Термощуп</t>
  </si>
  <si>
    <t>отсутствует</t>
  </si>
  <si>
    <t>выносной</t>
  </si>
  <si>
    <t>встроенный</t>
  </si>
  <si>
    <t>Конструкция термощупа</t>
  </si>
  <si>
    <t>без термощупа (корпус датчика)</t>
  </si>
  <si>
    <t>АП1</t>
  </si>
  <si>
    <t>АП2</t>
  </si>
  <si>
    <t>АП3</t>
  </si>
  <si>
    <t>АП4</t>
  </si>
  <si>
    <t>АП5</t>
  </si>
  <si>
    <t>, АП1</t>
  </si>
  <si>
    <t>, АП2</t>
  </si>
  <si>
    <t>, АП3</t>
  </si>
  <si>
    <t>, АП4</t>
  </si>
  <si>
    <t>, АП5</t>
  </si>
  <si>
    <t>Пример компоновки арматуры присоединительной</t>
  </si>
  <si>
    <t>Передача и хранение данных</t>
  </si>
  <si>
    <t>LoRaWAN + Bluetooth Low Energy</t>
  </si>
  <si>
    <t>встроенная память 64 МБ + Bluetooth Low Energy</t>
  </si>
  <si>
    <t>NB-IoT + Bluetooth Low Energy</t>
  </si>
  <si>
    <t>, LoRa</t>
  </si>
  <si>
    <t>, NB-IoT</t>
  </si>
  <si>
    <t>, 64МБ</t>
  </si>
  <si>
    <t>Столбец3</t>
  </si>
  <si>
    <t>, LoRaWAN</t>
  </si>
  <si>
    <t>Дополнительная комплектация</t>
  </si>
  <si>
    <t>Арматура присоединительная</t>
  </si>
  <si>
    <t>Дополнительная комплектация:</t>
  </si>
  <si>
    <t>Клапан игольчатый 15ЛС54БКМ - М20х1,5 1 шт.
Отвод-охладитель ОС100/ОХ4 1 шт.
Шайба медная 12х18х1 3 шт.</t>
  </si>
  <si>
    <t>, АПХ</t>
  </si>
  <si>
    <t>Тройник 1 шт.
Шайба медная 12х18х1 4 шт.
Клапан игольчатый 15НЖ54БКМ - М20х1,5 1 шт.
Гильза защитная ГЗ.16.1.1.200 1шт.
Отвод-охладитель ТО-СП1-2.35 1шт.</t>
  </si>
  <si>
    <t>Тройник 1 шт.
Шайба медная 12х18х1 4 шт.
Клапан игольчатый 15НЖ54БКМ - М20х1,5 1 шт.
Гильза защитная ГЗ.16.1.1.200 1 шт.
Отвод-охладитель ОС100/ОХ4 1 шт.</t>
  </si>
  <si>
    <t>Бобышка прямая Б.П.1.20Х1,5.40.2 Б.П.1.20Х1,5.40.2 2 шт.
Гильза защитная ГЗ.16.1.1.100 1 шт.
Блок вентильный БВ-113.40 1 шт.</t>
  </si>
  <si>
    <t>Гильза защитная ГЗ.16.1.1.100 1 шт.
Клапан игольчатый 15ЛС54БКМ - М20х1,5 1 шт.</t>
  </si>
  <si>
    <t>Конструктивное исполнение термощупа</t>
  </si>
  <si>
    <t>встроеный</t>
  </si>
  <si>
    <t>для ввинчивания в термокарман</t>
  </si>
  <si>
    <t>накладной</t>
  </si>
  <si>
    <t>накладной под винт</t>
  </si>
  <si>
    <t>накладной под торцевое крепление</t>
  </si>
  <si>
    <t>, ТЩ4</t>
  </si>
  <si>
    <t>, ТЩ5</t>
  </si>
  <si>
    <t>, ТЩ6</t>
  </si>
  <si>
    <t>, ТЩ</t>
  </si>
  <si>
    <t>, ТЩX</t>
  </si>
  <si>
    <t>другое</t>
  </si>
  <si>
    <t>Конструктивные исполнения термоманометров:</t>
  </si>
  <si>
    <t>Конструктивные исполнения термощупов:</t>
  </si>
  <si>
    <t>накладной с лыской</t>
  </si>
  <si>
    <t>выносной для ввинчивания в термокарман</t>
  </si>
  <si>
    <t>выносной накладной с лыской</t>
  </si>
  <si>
    <t>выносной накладной под винт</t>
  </si>
  <si>
    <t>выносной накладной под торцевое крепление</t>
  </si>
  <si>
    <t>выносной другой</t>
  </si>
  <si>
    <t>, ТЩ3-</t>
  </si>
  <si>
    <t>Рабочие условия эксплуатации</t>
  </si>
  <si>
    <t>Верхний предел измерения давления</t>
  </si>
  <si>
    <t>Предел допускаемой основной приведенной погрешности</t>
  </si>
  <si>
    <t>Диапазон измерения</t>
  </si>
  <si>
    <t>Предел допускаемой абсолютной погрешности</t>
  </si>
  <si>
    <t>Длина термощупа</t>
  </si>
  <si>
    <t>Диаметр термощупа</t>
  </si>
  <si>
    <t>Длина кабеля</t>
  </si>
  <si>
    <t>от -40 до +60 °C (индустриальный температурный диапазон)</t>
  </si>
  <si>
    <t>от -52 до +60 °C (низкотемпературный диапазон)</t>
  </si>
  <si>
    <t>, Н</t>
  </si>
  <si>
    <t>от -56 до +60 °C (расширенный низкотемпературный диапазон)</t>
  </si>
  <si>
    <t>, 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</si>
</sst>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name val="Arial Cyr"/>
      <charset val="204"/>
    </font>
    <font>
      <sz val="11"/>
      <name val="Calibri"/>
      <family val="2"/>
      <charset val="204"/>
    </font>
    <font>
      <sz val="12"/>
      <name val="Calibri"/>
      <family val="2"/>
      <charset val="204"/>
      <scheme val="minor"/>
    </font>
    <font>
      <b/>
      <i/>
      <u/>
      <sz val="10"/>
      <color theme="9" tint="-0.249977111117893"/>
      <name val="Arial"/>
      <family val="2"/>
      <charset val="204"/>
    </font>
    <font>
      <sz val="12"/>
      <color theme="0"/>
      <name val="Calibri"/>
      <family val="2"/>
      <charset val="204"/>
      <scheme val="minor"/>
    </font>
    <font>
      <sz val="10"/>
      <color theme="0"/>
      <name val="Arial Cyr"/>
      <charset val="204"/>
    </font>
    <font>
      <b/>
      <i/>
      <u/>
      <sz val="10"/>
      <color theme="0"/>
      <name val="Arial"/>
      <family val="2"/>
      <charset val="204"/>
    </font>
    <font>
      <b/>
      <sz val="14"/>
      <name val="Arial Cyr"/>
      <charset val="204"/>
    </font>
    <font>
      <b/>
      <sz val="20"/>
      <color rgb="FF00B05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10"/>
      <name val="Arial Cyr"/>
      <charset val="204"/>
    </font>
    <font>
      <u/>
      <sz val="10"/>
      <color theme="10"/>
      <name val="Arial Cyr"/>
      <charset val="204"/>
    </font>
    <font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1E1E1E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1499679555650502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3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2" borderId="0" xfId="0" applyFill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wrapText="1"/>
    </xf>
    <xf numFmtId="0" fontId="7" fillId="0" borderId="0" xfId="0" applyFont="1" applyAlignment="1">
      <alignment vertical="center"/>
    </xf>
    <xf numFmtId="0" fontId="2" fillId="3" borderId="0" xfId="0" applyFont="1" applyFill="1"/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0" fillId="0" borderId="0" xfId="0" applyFont="1"/>
    <xf numFmtId="0" fontId="10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5" borderId="0" xfId="0" applyFont="1" applyFill="1"/>
    <xf numFmtId="0" fontId="12" fillId="0" borderId="0" xfId="0" applyFont="1" applyAlignment="1">
      <alignment horizontal="center" vertical="center"/>
    </xf>
    <xf numFmtId="0" fontId="0" fillId="0" borderId="9" xfId="0" applyBorder="1"/>
    <xf numFmtId="0" fontId="7" fillId="0" borderId="9" xfId="0" applyFont="1" applyBorder="1" applyAlignment="1">
      <alignment vertical="center"/>
    </xf>
    <xf numFmtId="0" fontId="0" fillId="0" borderId="9" xfId="0" applyFont="1" applyBorder="1"/>
    <xf numFmtId="0" fontId="2" fillId="0" borderId="9" xfId="0" applyFont="1" applyBorder="1" applyAlignment="1">
      <alignment wrapText="1"/>
    </xf>
    <xf numFmtId="0" fontId="2" fillId="0" borderId="9" xfId="0" applyFont="1" applyBorder="1"/>
    <xf numFmtId="0" fontId="4" fillId="0" borderId="9" xfId="0" applyNumberFormat="1" applyFont="1" applyBorder="1" applyProtection="1">
      <protection locked="0"/>
    </xf>
    <xf numFmtId="0" fontId="4" fillId="0" borderId="9" xfId="0" applyFont="1" applyBorder="1"/>
    <xf numFmtId="0" fontId="8" fillId="0" borderId="9" xfId="1" applyFont="1" applyFill="1" applyBorder="1" applyAlignment="1">
      <alignment horizontal="center" vertical="center"/>
    </xf>
    <xf numFmtId="0" fontId="4" fillId="0" borderId="9" xfId="0" applyFont="1" applyFill="1" applyBorder="1"/>
    <xf numFmtId="0" fontId="2" fillId="0" borderId="9" xfId="0" applyFont="1" applyFill="1" applyBorder="1" applyAlignment="1"/>
    <xf numFmtId="0" fontId="2" fillId="0" borderId="9" xfId="0" applyFont="1" applyBorder="1" applyAlignment="1">
      <alignment vertical="top"/>
    </xf>
    <xf numFmtId="0" fontId="5" fillId="0" borderId="9" xfId="0" applyFont="1" applyBorder="1"/>
    <xf numFmtId="0" fontId="6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0" fillId="0" borderId="11" xfId="0" applyFill="1" applyBorder="1"/>
    <xf numFmtId="0" fontId="0" fillId="0" borderId="12" xfId="0" applyBorder="1"/>
    <xf numFmtId="0" fontId="0" fillId="0" borderId="13" xfId="0" applyBorder="1"/>
    <xf numFmtId="0" fontId="0" fillId="3" borderId="10" xfId="0" applyFill="1" applyBorder="1"/>
    <xf numFmtId="0" fontId="2" fillId="3" borderId="10" xfId="0" applyFont="1" applyFill="1" applyBorder="1"/>
    <xf numFmtId="0" fontId="2" fillId="4" borderId="10" xfId="0" applyFont="1" applyFill="1" applyBorder="1"/>
    <xf numFmtId="0" fontId="0" fillId="4" borderId="10" xfId="0" applyFill="1" applyBorder="1"/>
    <xf numFmtId="0" fontId="2" fillId="3" borderId="14" xfId="0" applyFont="1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17" xfId="0" applyFill="1" applyBorder="1"/>
    <xf numFmtId="0" fontId="0" fillId="3" borderId="18" xfId="0" applyFill="1" applyBorder="1"/>
    <xf numFmtId="0" fontId="0" fillId="0" borderId="0" xfId="0" applyAlignment="1">
      <alignment horizontal="left" vertical="top"/>
    </xf>
    <xf numFmtId="0" fontId="2" fillId="3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2" fillId="0" borderId="13" xfId="0" applyFont="1" applyBorder="1"/>
    <xf numFmtId="0" fontId="2" fillId="0" borderId="13" xfId="0" applyFont="1" applyBorder="1" applyAlignment="1">
      <alignment wrapText="1"/>
    </xf>
    <xf numFmtId="0" fontId="4" fillId="0" borderId="13" xfId="0" quotePrefix="1" applyFont="1" applyBorder="1"/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/>
    <xf numFmtId="0" fontId="13" fillId="0" borderId="21" xfId="0" applyFont="1" applyFill="1" applyBorder="1" applyAlignment="1">
      <alignment wrapText="1"/>
    </xf>
    <xf numFmtId="0" fontId="13" fillId="0" borderId="21" xfId="0" quotePrefix="1" applyFont="1" applyFill="1" applyBorder="1" applyAlignment="1">
      <alignment wrapText="1"/>
    </xf>
    <xf numFmtId="0" fontId="13" fillId="0" borderId="21" xfId="0" applyFont="1" applyFill="1" applyBorder="1" applyAlignment="1"/>
    <xf numFmtId="0" fontId="2" fillId="0" borderId="0" xfId="0" applyNumberFormat="1" applyFont="1" applyAlignment="1">
      <alignment wrapText="1"/>
    </xf>
    <xf numFmtId="0" fontId="13" fillId="0" borderId="0" xfId="0" applyFont="1" applyFill="1" applyBorder="1" applyAlignment="1">
      <alignment horizontal="left" vertical="top"/>
    </xf>
    <xf numFmtId="0" fontId="2" fillId="0" borderId="0" xfId="0" applyNumberFormat="1" applyFont="1"/>
    <xf numFmtId="0" fontId="14" fillId="0" borderId="0" xfId="0" applyFont="1"/>
    <xf numFmtId="0" fontId="1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NumberFormat="1" applyFont="1" applyAlignment="1">
      <alignment horizontal="right"/>
    </xf>
    <xf numFmtId="0" fontId="2" fillId="0" borderId="21" xfId="0" quotePrefix="1" applyFont="1" applyBorder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7" xfId="0" quotePrefix="1" applyFont="1" applyBorder="1"/>
    <xf numFmtId="0" fontId="2" fillId="0" borderId="3" xfId="0" applyFont="1" applyBorder="1"/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5" xfId="0" applyFont="1" applyBorder="1"/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4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0" xfId="0" quotePrefix="1" applyFont="1"/>
    <xf numFmtId="0" fontId="2" fillId="0" borderId="21" xfId="0" applyFont="1" applyBorder="1" applyAlignment="1">
      <alignment vertical="top" wrapText="1"/>
    </xf>
    <xf numFmtId="0" fontId="13" fillId="0" borderId="21" xfId="0" applyFont="1" applyBorder="1" applyAlignment="1">
      <alignment vertical="top" wrapText="1"/>
    </xf>
    <xf numFmtId="0" fontId="2" fillId="0" borderId="21" xfId="0" quotePrefix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quotePrefix="1" applyFont="1" applyBorder="1"/>
    <xf numFmtId="0" fontId="15" fillId="3" borderId="0" xfId="0" applyFont="1" applyFill="1"/>
    <xf numFmtId="0" fontId="2" fillId="3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24" xfId="0" quotePrefix="1" applyFont="1" applyBorder="1"/>
    <xf numFmtId="0" fontId="2" fillId="0" borderId="0" xfId="0" applyNumberFormat="1" applyFont="1" applyAlignment="1">
      <alignment horizontal="left" vertical="top"/>
    </xf>
    <xf numFmtId="0" fontId="2" fillId="0" borderId="21" xfId="0" applyFont="1" applyBorder="1" applyAlignment="1">
      <alignment horizontal="left"/>
    </xf>
    <xf numFmtId="164" fontId="2" fillId="0" borderId="21" xfId="0" applyNumberFormat="1" applyFont="1" applyBorder="1" applyAlignment="1">
      <alignment horizontal="left"/>
    </xf>
    <xf numFmtId="164" fontId="2" fillId="0" borderId="24" xfId="0" applyNumberFormat="1" applyFont="1" applyBorder="1" applyAlignment="1">
      <alignment horizontal="left"/>
    </xf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 horizontal="right" wrapText="1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2" fillId="3" borderId="0" xfId="0" applyNumberFormat="1" applyFont="1" applyFill="1"/>
    <xf numFmtId="0" fontId="2" fillId="6" borderId="21" xfId="0" applyFont="1" applyFill="1" applyBorder="1"/>
    <xf numFmtId="0" fontId="2" fillId="0" borderId="0" xfId="0" applyFont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13" fillId="0" borderId="21" xfId="0" quotePrefix="1" applyFont="1" applyFill="1" applyBorder="1" applyAlignment="1">
      <alignment horizontal="left" vertical="top"/>
    </xf>
    <xf numFmtId="0" fontId="2" fillId="0" borderId="3" xfId="0" quotePrefix="1" applyFont="1" applyBorder="1"/>
    <xf numFmtId="0" fontId="2" fillId="0" borderId="5" xfId="0" quotePrefix="1" applyFont="1" applyBorder="1"/>
    <xf numFmtId="0" fontId="2" fillId="0" borderId="8" xfId="0" quotePrefix="1" applyFont="1" applyBorder="1"/>
    <xf numFmtId="0" fontId="0" fillId="0" borderId="0" xfId="0" applyFont="1" applyAlignment="1">
      <alignment horizontal="right"/>
    </xf>
    <xf numFmtId="0" fontId="16" fillId="0" borderId="25" xfId="0" applyFont="1" applyBorder="1"/>
    <xf numFmtId="0" fontId="2" fillId="0" borderId="0" xfId="0" quotePrefix="1" applyFont="1" applyBorder="1" applyAlignment="1">
      <alignment horizontal="left"/>
    </xf>
    <xf numFmtId="0" fontId="2" fillId="0" borderId="7" xfId="0" quotePrefix="1" applyFont="1" applyBorder="1" applyAlignment="1">
      <alignment horizontal="left"/>
    </xf>
    <xf numFmtId="0" fontId="2" fillId="0" borderId="2" xfId="0" quotePrefix="1" applyFont="1" applyBorder="1"/>
    <xf numFmtId="0" fontId="15" fillId="0" borderId="0" xfId="0" applyFont="1"/>
    <xf numFmtId="0" fontId="15" fillId="0" borderId="0" xfId="0" applyNumberFormat="1" applyFont="1"/>
    <xf numFmtId="0" fontId="2" fillId="4" borderId="19" xfId="0" applyFont="1" applyFill="1" applyBorder="1" applyAlignment="1">
      <alignment horizontal="left" wrapText="1"/>
    </xf>
    <xf numFmtId="0" fontId="2" fillId="4" borderId="20" xfId="0" applyFont="1" applyFill="1" applyBorder="1" applyAlignment="1">
      <alignment horizontal="left" wrapText="1"/>
    </xf>
    <xf numFmtId="0" fontId="0" fillId="4" borderId="19" xfId="0" applyFill="1" applyBorder="1" applyAlignment="1">
      <alignment horizontal="left" vertical="top" wrapText="1"/>
    </xf>
    <xf numFmtId="0" fontId="0" fillId="4" borderId="20" xfId="0" applyFill="1" applyBorder="1" applyAlignment="1">
      <alignment horizontal="left" vertical="top" wrapText="1"/>
    </xf>
    <xf numFmtId="0" fontId="2" fillId="4" borderId="22" xfId="0" applyFont="1" applyFill="1" applyBorder="1" applyAlignment="1">
      <alignment horizontal="left" vertical="top" wrapText="1"/>
    </xf>
    <xf numFmtId="0" fontId="2" fillId="4" borderId="23" xfId="0" applyFont="1" applyFill="1" applyBorder="1" applyAlignment="1">
      <alignment horizontal="left" vertical="top" wrapText="1"/>
    </xf>
    <xf numFmtId="0" fontId="2" fillId="4" borderId="19" xfId="0" applyFont="1" applyFill="1" applyBorder="1" applyAlignment="1">
      <alignment horizontal="left" vertical="top"/>
    </xf>
    <xf numFmtId="0" fontId="2" fillId="4" borderId="20" xfId="0" applyFont="1" applyFill="1" applyBorder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2" fillId="3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2" fillId="0" borderId="9" xfId="0" applyFont="1" applyBorder="1" applyAlignment="1" applyProtection="1"/>
  </cellXfs>
  <cellStyles count="2">
    <cellStyle name="Гиперссылка" xfId="1" builtinId="8"/>
    <cellStyle name="Обычный" xfId="0" builtinId="0"/>
  </cellStyles>
  <dxfs count="1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border diagonalUp="0" diagonalDown="0">
        <left/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theme="1"/>
        </left>
        <right style="thin">
          <color theme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border outline="0">
        <top style="thin">
          <color theme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theme="1"/>
        </left>
        <right style="thin">
          <color theme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Drop" dropLines="12" dropStyle="combo" dx="16" fmlaLink="Лист1!$A$5" fmlaRange="Лист1!$D$6:$D$17" noThreeD="1" sel="8" val="0"/>
</file>

<file path=xl/ctrlProps/ctrlProp10.xml><?xml version="1.0" encoding="utf-8"?>
<formControlPr xmlns="http://schemas.microsoft.com/office/spreadsheetml/2009/9/main" objectType="Drop" dropStyle="combo" dx="16" fmlaLink="Лист1!$A$114" fmlaRange="Лист1!$D$115:$D$117" noThreeD="1" val="0"/>
</file>

<file path=xl/ctrlProps/ctrlProp11.xml><?xml version="1.0" encoding="utf-8"?>
<formControlPr xmlns="http://schemas.microsoft.com/office/spreadsheetml/2009/9/main" objectType="Drop" dropStyle="combo" dx="16" fmlaLink="Лист1!$A$120" fmlaRange="Лист1!$D$121:$D$122" noThreeD="1" val="0"/>
</file>

<file path=xl/ctrlProps/ctrlProp12.xml><?xml version="1.0" encoding="utf-8"?>
<formControlPr xmlns="http://schemas.microsoft.com/office/spreadsheetml/2009/9/main" objectType="Drop" dropStyle="combo" dx="16" fmlaLink="Лист1!$A$100" fmlaRange="Лист1!$D$101:$D$104" noThreeD="1" val="0"/>
</file>

<file path=xl/ctrlProps/ctrlProp13.xml><?xml version="1.0" encoding="utf-8"?>
<formControlPr xmlns="http://schemas.microsoft.com/office/spreadsheetml/2009/9/main" objectType="Drop" dropStyle="combo" dx="16" fmlaLink="Лист1!$A$137" fmlaRange="Лист1!$D$138:$D$141" noThreeD="1" val="0"/>
</file>

<file path=xl/ctrlProps/ctrlProp14.xml><?xml version="1.0" encoding="utf-8"?>
<formControlPr xmlns="http://schemas.microsoft.com/office/spreadsheetml/2009/9/main" objectType="Drop" dropStyle="combo" dx="16" fmlaLink="Лист1!$A$132" fmlaRange="Лист1!$D$133:$D$134" noThreeD="1" val="0"/>
</file>

<file path=xl/ctrlProps/ctrlProp15.xml><?xml version="1.0" encoding="utf-8"?>
<formControlPr xmlns="http://schemas.microsoft.com/office/spreadsheetml/2009/9/main" objectType="Drop" dropStyle="combo" dx="16" fmlaLink="Лист1!$A$29" fmlaRange="Лист1!$D$30:$D$32" noThreeD="1" val="0"/>
</file>

<file path=xl/ctrlProps/ctrlProp16.xml><?xml version="1.0" encoding="utf-8"?>
<formControlPr xmlns="http://schemas.microsoft.com/office/spreadsheetml/2009/9/main" objectType="Drop" dropStyle="combo" dx="16" fmlaLink="Лист1!$A$67" fmlaRange="Лист1!$D$68:$D$69" noThreeD="1" val="0"/>
</file>

<file path=xl/ctrlProps/ctrlProp17.xml><?xml version="1.0" encoding="utf-8"?>
<formControlPr xmlns="http://schemas.microsoft.com/office/spreadsheetml/2009/9/main" objectType="Drop" dropStyle="combo" dx="16" fmlaLink="Лист1!$A$144" fmlaRange="Лист1!$D$145:$D$151" noThreeD="1" val="0"/>
</file>

<file path=xl/ctrlProps/ctrlProp18.xml><?xml version="1.0" encoding="utf-8"?>
<formControlPr xmlns="http://schemas.microsoft.com/office/spreadsheetml/2009/9/main" objectType="Drop" dropStyle="combo" dx="16" fmlaLink="Лист1!$A$35" fmlaRange="Лист1!$D$36:$D$40" noThreeD="1" val="0"/>
</file>

<file path=xl/ctrlProps/ctrlProp19.xml><?xml version="1.0" encoding="utf-8"?>
<formControlPr xmlns="http://schemas.microsoft.com/office/spreadsheetml/2009/9/main" objectType="Drop" dropStyle="combo" dx="16" fmlaLink="Лист1!$A$126" fmlaRange="Лист1!$D$127:$D$129" noThreeD="1" val="0"/>
</file>

<file path=xl/ctrlProps/ctrlProp2.xml><?xml version="1.0" encoding="utf-8"?>
<formControlPr xmlns="http://schemas.microsoft.com/office/spreadsheetml/2009/9/main" objectType="Drop" dropStyle="combo" dx="16" fmlaLink="Лист1!$A$20" fmlaRange="Лист1!$D$21:$D$26" noThreeD="1" sel="2" val="0"/>
</file>

<file path=xl/ctrlProps/ctrlProp3.xml><?xml version="1.0" encoding="utf-8"?>
<formControlPr xmlns="http://schemas.microsoft.com/office/spreadsheetml/2009/9/main" objectType="Drop" dropStyle="combo" dx="16" fmlaLink="Лист1!$A$51" fmlaRange="Лист1!$D$52:$D$56" noThreeD="1" val="0"/>
</file>

<file path=xl/ctrlProps/ctrlProp4.xml><?xml version="1.0" encoding="utf-8"?>
<formControlPr xmlns="http://schemas.microsoft.com/office/spreadsheetml/2009/9/main" objectType="Drop" dropStyle="combo" dx="16" fmlaLink="Лист1!$A$43" fmlaRange="Лист1!$D$44:$D$48" noThreeD="1" val="0"/>
</file>

<file path=xl/ctrlProps/ctrlProp5.xml><?xml version="1.0" encoding="utf-8"?>
<formControlPr xmlns="http://schemas.microsoft.com/office/spreadsheetml/2009/9/main" objectType="Drop" dropStyle="combo" dx="16" fmlaLink="Лист1!$A$61" fmlaRange="Лист1!$D$62:$D$64" noThreeD="1" sel="2" val="0"/>
</file>

<file path=xl/ctrlProps/ctrlProp6.xml><?xml version="1.0" encoding="utf-8"?>
<formControlPr xmlns="http://schemas.microsoft.com/office/spreadsheetml/2009/9/main" objectType="Drop" dropStyle="combo" dx="16" fmlaLink="Лист1!$A$72" fmlaRange="Лист1!$D$73:$D$76" noThreeD="1" val="0"/>
</file>

<file path=xl/ctrlProps/ctrlProp7.xml><?xml version="1.0" encoding="utf-8"?>
<formControlPr xmlns="http://schemas.microsoft.com/office/spreadsheetml/2009/9/main" objectType="Drop" dropStyle="combo" dx="16" fmlaLink="Лист1!$A$79" fmlaRange="Лист1!$D$80:$D$84" noThreeD="1" val="0"/>
</file>

<file path=xl/ctrlProps/ctrlProp8.xml><?xml version="1.0" encoding="utf-8"?>
<formControlPr xmlns="http://schemas.microsoft.com/office/spreadsheetml/2009/9/main" objectType="Drop" dropLines="12" dropStyle="combo" dx="16" fmlaLink="Лист1!$A$87" fmlaRange="Лист1!$D$88:$D$97" noThreeD="1" val="0"/>
</file>

<file path=xl/ctrlProps/ctrlProp9.xml><?xml version="1.0" encoding="utf-8"?>
<formControlPr xmlns="http://schemas.microsoft.com/office/spreadsheetml/2009/9/main" objectType="Drop" dropStyle="combo" dx="16" fmlaLink="Лист1!$A$107" fmlaRange="Лист1!$D$108:$D$111" noThreeD="1" val="0"/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png"/><Relationship Id="rId13" Type="http://schemas.openxmlformats.org/officeDocument/2006/relationships/image" Target="../media/image19.png"/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12" Type="http://schemas.openxmlformats.org/officeDocument/2006/relationships/image" Target="../media/image18.png"/><Relationship Id="rId2" Type="http://schemas.microsoft.com/office/2007/relationships/hdphoto" Target="../media/hdphoto1.wdp"/><Relationship Id="rId16" Type="http://schemas.openxmlformats.org/officeDocument/2006/relationships/image" Target="../media/image22.png"/><Relationship Id="rId1" Type="http://schemas.openxmlformats.org/officeDocument/2006/relationships/image" Target="../media/image8.png"/><Relationship Id="rId6" Type="http://schemas.openxmlformats.org/officeDocument/2006/relationships/image" Target="../media/image12.png"/><Relationship Id="rId11" Type="http://schemas.openxmlformats.org/officeDocument/2006/relationships/image" Target="../media/image17.png"/><Relationship Id="rId5" Type="http://schemas.openxmlformats.org/officeDocument/2006/relationships/image" Target="../media/image11.png"/><Relationship Id="rId15" Type="http://schemas.openxmlformats.org/officeDocument/2006/relationships/image" Target="../media/image21.png"/><Relationship Id="rId10" Type="http://schemas.openxmlformats.org/officeDocument/2006/relationships/image" Target="../media/image16.png"/><Relationship Id="rId4" Type="http://schemas.openxmlformats.org/officeDocument/2006/relationships/image" Target="../media/image10.png"/><Relationship Id="rId9" Type="http://schemas.openxmlformats.org/officeDocument/2006/relationships/image" Target="../media/image15.png"/><Relationship Id="rId14" Type="http://schemas.openxmlformats.org/officeDocument/2006/relationships/image" Target="../media/image20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</xdr:row>
          <xdr:rowOff>104775</xdr:rowOff>
        </xdr:from>
        <xdr:to>
          <xdr:col>3</xdr:col>
          <xdr:colOff>3105150</xdr:colOff>
          <xdr:row>2</xdr:row>
          <xdr:rowOff>352425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</xdr:row>
          <xdr:rowOff>76200</xdr:rowOff>
        </xdr:from>
        <xdr:to>
          <xdr:col>3</xdr:col>
          <xdr:colOff>3105150</xdr:colOff>
          <xdr:row>3</xdr:row>
          <xdr:rowOff>323850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</xdr:row>
          <xdr:rowOff>28575</xdr:rowOff>
        </xdr:from>
        <xdr:to>
          <xdr:col>3</xdr:col>
          <xdr:colOff>3105150</xdr:colOff>
          <xdr:row>8</xdr:row>
          <xdr:rowOff>276225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7</xdr:row>
          <xdr:rowOff>47625</xdr:rowOff>
        </xdr:from>
        <xdr:to>
          <xdr:col>3</xdr:col>
          <xdr:colOff>3105150</xdr:colOff>
          <xdr:row>8</xdr:row>
          <xdr:rowOff>9525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9</xdr:row>
          <xdr:rowOff>28575</xdr:rowOff>
        </xdr:from>
        <xdr:to>
          <xdr:col>3</xdr:col>
          <xdr:colOff>3105150</xdr:colOff>
          <xdr:row>9</xdr:row>
          <xdr:rowOff>276225</xdr:rowOff>
        </xdr:to>
        <xdr:sp macro="" textlink="">
          <xdr:nvSpPr>
            <xdr:cNvPr id="2053" name="Drop Down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</xdr:row>
          <xdr:rowOff>28575</xdr:rowOff>
        </xdr:from>
        <xdr:to>
          <xdr:col>3</xdr:col>
          <xdr:colOff>3105150</xdr:colOff>
          <xdr:row>10</xdr:row>
          <xdr:rowOff>276225</xdr:rowOff>
        </xdr:to>
        <xdr:sp macro="" textlink="">
          <xdr:nvSpPr>
            <xdr:cNvPr id="2054" name="Drop Down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11</xdr:row>
          <xdr:rowOff>38100</xdr:rowOff>
        </xdr:from>
        <xdr:to>
          <xdr:col>3</xdr:col>
          <xdr:colOff>3105150</xdr:colOff>
          <xdr:row>12</xdr:row>
          <xdr:rowOff>0</xdr:rowOff>
        </xdr:to>
        <xdr:sp macro="" textlink="">
          <xdr:nvSpPr>
            <xdr:cNvPr id="2055" name="Drop Down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13</xdr:row>
          <xdr:rowOff>47625</xdr:rowOff>
        </xdr:from>
        <xdr:to>
          <xdr:col>3</xdr:col>
          <xdr:colOff>3105150</xdr:colOff>
          <xdr:row>14</xdr:row>
          <xdr:rowOff>9525</xdr:rowOff>
        </xdr:to>
        <xdr:sp macro="" textlink="">
          <xdr:nvSpPr>
            <xdr:cNvPr id="2056" name="Drop Down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15</xdr:row>
          <xdr:rowOff>47625</xdr:rowOff>
        </xdr:from>
        <xdr:to>
          <xdr:col>3</xdr:col>
          <xdr:colOff>3105150</xdr:colOff>
          <xdr:row>16</xdr:row>
          <xdr:rowOff>9525</xdr:rowOff>
        </xdr:to>
        <xdr:sp macro="" textlink="">
          <xdr:nvSpPr>
            <xdr:cNvPr id="2057" name="Drop Down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16</xdr:row>
          <xdr:rowOff>38100</xdr:rowOff>
        </xdr:from>
        <xdr:to>
          <xdr:col>3</xdr:col>
          <xdr:colOff>3105150</xdr:colOff>
          <xdr:row>17</xdr:row>
          <xdr:rowOff>0</xdr:rowOff>
        </xdr:to>
        <xdr:sp macro="" textlink="">
          <xdr:nvSpPr>
            <xdr:cNvPr id="2058" name="Drop Down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17</xdr:row>
          <xdr:rowOff>28575</xdr:rowOff>
        </xdr:from>
        <xdr:to>
          <xdr:col>3</xdr:col>
          <xdr:colOff>3105150</xdr:colOff>
          <xdr:row>17</xdr:row>
          <xdr:rowOff>276225</xdr:rowOff>
        </xdr:to>
        <xdr:sp macro="" textlink="">
          <xdr:nvSpPr>
            <xdr:cNvPr id="2059" name="Drop Down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14</xdr:row>
          <xdr:rowOff>38100</xdr:rowOff>
        </xdr:from>
        <xdr:to>
          <xdr:col>3</xdr:col>
          <xdr:colOff>3105150</xdr:colOff>
          <xdr:row>15</xdr:row>
          <xdr:rowOff>0</xdr:rowOff>
        </xdr:to>
        <xdr:sp macro="" textlink="">
          <xdr:nvSpPr>
            <xdr:cNvPr id="2060" name="Drop Down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21</xdr:row>
          <xdr:rowOff>28575</xdr:rowOff>
        </xdr:from>
        <xdr:to>
          <xdr:col>3</xdr:col>
          <xdr:colOff>3105150</xdr:colOff>
          <xdr:row>21</xdr:row>
          <xdr:rowOff>276225</xdr:rowOff>
        </xdr:to>
        <xdr:sp macro="" textlink="">
          <xdr:nvSpPr>
            <xdr:cNvPr id="2062" name="Drop Down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19</xdr:row>
          <xdr:rowOff>47625</xdr:rowOff>
        </xdr:from>
        <xdr:to>
          <xdr:col>3</xdr:col>
          <xdr:colOff>3105150</xdr:colOff>
          <xdr:row>20</xdr:row>
          <xdr:rowOff>9525</xdr:rowOff>
        </xdr:to>
        <xdr:sp macro="" textlink="">
          <xdr:nvSpPr>
            <xdr:cNvPr id="2063" name="Drop Down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</xdr:row>
          <xdr:rowOff>57150</xdr:rowOff>
        </xdr:from>
        <xdr:to>
          <xdr:col>3</xdr:col>
          <xdr:colOff>3105150</xdr:colOff>
          <xdr:row>6</xdr:row>
          <xdr:rowOff>19050</xdr:rowOff>
        </xdr:to>
        <xdr:sp macro="" textlink="">
          <xdr:nvSpPr>
            <xdr:cNvPr id="2071" name="Drop Down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</xdr:row>
          <xdr:rowOff>38100</xdr:rowOff>
        </xdr:from>
        <xdr:to>
          <xdr:col>3</xdr:col>
          <xdr:colOff>3105150</xdr:colOff>
          <xdr:row>13</xdr:row>
          <xdr:rowOff>0</xdr:rowOff>
        </xdr:to>
        <xdr:sp macro="" textlink="">
          <xdr:nvSpPr>
            <xdr:cNvPr id="2076" name="Drop Down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</xdr:row>
          <xdr:rowOff>9525</xdr:rowOff>
        </xdr:from>
        <xdr:to>
          <xdr:col>5</xdr:col>
          <xdr:colOff>1562100</xdr:colOff>
          <xdr:row>8</xdr:row>
          <xdr:rowOff>266700</xdr:rowOff>
        </xdr:to>
        <xdr:sp macro="" textlink="">
          <xdr:nvSpPr>
            <xdr:cNvPr id="2089" name="TextBox3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38100</xdr:rowOff>
        </xdr:from>
        <xdr:to>
          <xdr:col>5</xdr:col>
          <xdr:colOff>1562100</xdr:colOff>
          <xdr:row>11</xdr:row>
          <xdr:rowOff>9525</xdr:rowOff>
        </xdr:to>
        <xdr:sp macro="" textlink="">
          <xdr:nvSpPr>
            <xdr:cNvPr id="2090" name="TextBox4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38100</xdr:rowOff>
        </xdr:from>
        <xdr:to>
          <xdr:col>5</xdr:col>
          <xdr:colOff>1562100</xdr:colOff>
          <xdr:row>12</xdr:row>
          <xdr:rowOff>9525</xdr:rowOff>
        </xdr:to>
        <xdr:sp macro="" textlink="">
          <xdr:nvSpPr>
            <xdr:cNvPr id="2091" name="TextBox5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19050</xdr:rowOff>
        </xdr:from>
        <xdr:to>
          <xdr:col>5</xdr:col>
          <xdr:colOff>1562100</xdr:colOff>
          <xdr:row>14</xdr:row>
          <xdr:rowOff>276225</xdr:rowOff>
        </xdr:to>
        <xdr:sp macro="" textlink="">
          <xdr:nvSpPr>
            <xdr:cNvPr id="2094" name="TextBox8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</xdr:row>
          <xdr:rowOff>28575</xdr:rowOff>
        </xdr:from>
        <xdr:to>
          <xdr:col>5</xdr:col>
          <xdr:colOff>1562100</xdr:colOff>
          <xdr:row>21</xdr:row>
          <xdr:rowOff>285750</xdr:rowOff>
        </xdr:to>
        <xdr:sp macro="" textlink="">
          <xdr:nvSpPr>
            <xdr:cNvPr id="2095" name="TextBox9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16</xdr:row>
          <xdr:rowOff>19050</xdr:rowOff>
        </xdr:from>
        <xdr:to>
          <xdr:col>5</xdr:col>
          <xdr:colOff>1571625</xdr:colOff>
          <xdr:row>16</xdr:row>
          <xdr:rowOff>276225</xdr:rowOff>
        </xdr:to>
        <xdr:sp macro="" textlink="">
          <xdr:nvSpPr>
            <xdr:cNvPr id="2096" name="TextBox10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3543300</xdr:colOff>
          <xdr:row>24</xdr:row>
          <xdr:rowOff>9525</xdr:rowOff>
        </xdr:from>
        <xdr:to>
          <xdr:col>5</xdr:col>
          <xdr:colOff>1571625</xdr:colOff>
          <xdr:row>24</xdr:row>
          <xdr:rowOff>723900</xdr:rowOff>
        </xdr:to>
        <xdr:sp macro="" textlink="">
          <xdr:nvSpPr>
            <xdr:cNvPr id="2098" name="TextBox12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1057275</xdr:colOff>
          <xdr:row>26</xdr:row>
          <xdr:rowOff>47625</xdr:rowOff>
        </xdr:from>
        <xdr:to>
          <xdr:col>2</xdr:col>
          <xdr:colOff>2486025</xdr:colOff>
          <xdr:row>26</xdr:row>
          <xdr:rowOff>304800</xdr:rowOff>
        </xdr:to>
        <xdr:sp macro="" textlink="">
          <xdr:nvSpPr>
            <xdr:cNvPr id="2099" name="TextBox13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1866900</xdr:colOff>
          <xdr:row>29</xdr:row>
          <xdr:rowOff>38100</xdr:rowOff>
        </xdr:from>
        <xdr:to>
          <xdr:col>5</xdr:col>
          <xdr:colOff>1562100</xdr:colOff>
          <xdr:row>29</xdr:row>
          <xdr:rowOff>295275</xdr:rowOff>
        </xdr:to>
        <xdr:sp macro="" textlink="">
          <xdr:nvSpPr>
            <xdr:cNvPr id="2100" name="TextBox14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904875</xdr:colOff>
          <xdr:row>30</xdr:row>
          <xdr:rowOff>38100</xdr:rowOff>
        </xdr:from>
        <xdr:to>
          <xdr:col>5</xdr:col>
          <xdr:colOff>1562100</xdr:colOff>
          <xdr:row>30</xdr:row>
          <xdr:rowOff>295275</xdr:rowOff>
        </xdr:to>
        <xdr:sp macro="" textlink="">
          <xdr:nvSpPr>
            <xdr:cNvPr id="2101" name="TextBox15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1219200</xdr:colOff>
          <xdr:row>31</xdr:row>
          <xdr:rowOff>38100</xdr:rowOff>
        </xdr:from>
        <xdr:to>
          <xdr:col>5</xdr:col>
          <xdr:colOff>1562100</xdr:colOff>
          <xdr:row>31</xdr:row>
          <xdr:rowOff>295275</xdr:rowOff>
        </xdr:to>
        <xdr:sp macro="" textlink="">
          <xdr:nvSpPr>
            <xdr:cNvPr id="2102" name="TextBox16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1219200</xdr:colOff>
          <xdr:row>32</xdr:row>
          <xdr:rowOff>38100</xdr:rowOff>
        </xdr:from>
        <xdr:to>
          <xdr:col>5</xdr:col>
          <xdr:colOff>1562100</xdr:colOff>
          <xdr:row>32</xdr:row>
          <xdr:rowOff>295275</xdr:rowOff>
        </xdr:to>
        <xdr:sp macro="" textlink="">
          <xdr:nvSpPr>
            <xdr:cNvPr id="2103" name="TextBox17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38100</xdr:rowOff>
        </xdr:from>
        <xdr:to>
          <xdr:col>5</xdr:col>
          <xdr:colOff>1562100</xdr:colOff>
          <xdr:row>14</xdr:row>
          <xdr:rowOff>9525</xdr:rowOff>
        </xdr:to>
        <xdr:sp macro="" textlink="">
          <xdr:nvSpPr>
            <xdr:cNvPr id="2107" name="TextBox18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38100</xdr:rowOff>
        </xdr:from>
        <xdr:to>
          <xdr:col>5</xdr:col>
          <xdr:colOff>1562100</xdr:colOff>
          <xdr:row>8</xdr:row>
          <xdr:rowOff>9525</xdr:rowOff>
        </xdr:to>
        <xdr:sp macro="" textlink="">
          <xdr:nvSpPr>
            <xdr:cNvPr id="2108" name="TextBox6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</xdr:row>
          <xdr:rowOff>123825</xdr:rowOff>
        </xdr:from>
        <xdr:to>
          <xdr:col>5</xdr:col>
          <xdr:colOff>1562100</xdr:colOff>
          <xdr:row>2</xdr:row>
          <xdr:rowOff>381000</xdr:rowOff>
        </xdr:to>
        <xdr:sp macro="" textlink="">
          <xdr:nvSpPr>
            <xdr:cNvPr id="2129" name="TextBox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</xdr:row>
          <xdr:rowOff>76200</xdr:rowOff>
        </xdr:from>
        <xdr:to>
          <xdr:col>5</xdr:col>
          <xdr:colOff>1562100</xdr:colOff>
          <xdr:row>3</xdr:row>
          <xdr:rowOff>333375</xdr:rowOff>
        </xdr:to>
        <xdr:sp macro="" textlink="">
          <xdr:nvSpPr>
            <xdr:cNvPr id="2130" name="TextBox2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22</xdr:row>
          <xdr:rowOff>28575</xdr:rowOff>
        </xdr:from>
        <xdr:to>
          <xdr:col>3</xdr:col>
          <xdr:colOff>3105150</xdr:colOff>
          <xdr:row>22</xdr:row>
          <xdr:rowOff>276225</xdr:rowOff>
        </xdr:to>
        <xdr:sp macro="" textlink="">
          <xdr:nvSpPr>
            <xdr:cNvPr id="2152" name="Drop Down 104" hidden="1">
              <a:extLst>
                <a:ext uri="{63B3BB69-23CF-44E3-9099-C40C66FF867C}">
                  <a14:compatExt spid="_x0000_s2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28575</xdr:rowOff>
        </xdr:from>
        <xdr:to>
          <xdr:col>5</xdr:col>
          <xdr:colOff>1571625</xdr:colOff>
          <xdr:row>23</xdr:row>
          <xdr:rowOff>1171575</xdr:rowOff>
        </xdr:to>
        <xdr:sp macro="" textlink="">
          <xdr:nvSpPr>
            <xdr:cNvPr id="2153" name="TextBox7" hidden="1">
              <a:extLst>
                <a:ext uri="{63B3BB69-23CF-44E3-9099-C40C66FF867C}">
                  <a14:compatExt spid="_x0000_s2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</xdr:row>
          <xdr:rowOff>57150</xdr:rowOff>
        </xdr:from>
        <xdr:to>
          <xdr:col>3</xdr:col>
          <xdr:colOff>3105150</xdr:colOff>
          <xdr:row>7</xdr:row>
          <xdr:rowOff>19050</xdr:rowOff>
        </xdr:to>
        <xdr:sp macro="" textlink="">
          <xdr:nvSpPr>
            <xdr:cNvPr id="2184" name="Drop Down 136" hidden="1">
              <a:extLst>
                <a:ext uri="{63B3BB69-23CF-44E3-9099-C40C66FF867C}">
                  <a14:compatExt spid="_x0000_s2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</xdr:row>
          <xdr:rowOff>66675</xdr:rowOff>
        </xdr:from>
        <xdr:to>
          <xdr:col>5</xdr:col>
          <xdr:colOff>1562100</xdr:colOff>
          <xdr:row>7</xdr:row>
          <xdr:rowOff>38100</xdr:rowOff>
        </xdr:to>
        <xdr:sp macro="" textlink="">
          <xdr:nvSpPr>
            <xdr:cNvPr id="2185" name="TextBox11" hidden="1">
              <a:extLst>
                <a:ext uri="{63B3BB69-23CF-44E3-9099-C40C66FF867C}">
                  <a14:compatExt spid="_x0000_s2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38100</xdr:rowOff>
        </xdr:from>
        <xdr:to>
          <xdr:col>5</xdr:col>
          <xdr:colOff>1562100</xdr:colOff>
          <xdr:row>13</xdr:row>
          <xdr:rowOff>9525</xdr:rowOff>
        </xdr:to>
        <xdr:sp macro="" textlink="">
          <xdr:nvSpPr>
            <xdr:cNvPr id="2186" name="TextBox19" hidden="1">
              <a:extLst>
                <a:ext uri="{63B3BB69-23CF-44E3-9099-C40C66FF867C}">
                  <a14:compatExt spid="_x0000_s2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18</xdr:row>
          <xdr:rowOff>28575</xdr:rowOff>
        </xdr:from>
        <xdr:to>
          <xdr:col>3</xdr:col>
          <xdr:colOff>3105150</xdr:colOff>
          <xdr:row>18</xdr:row>
          <xdr:rowOff>276225</xdr:rowOff>
        </xdr:to>
        <xdr:sp macro="" textlink="">
          <xdr:nvSpPr>
            <xdr:cNvPr id="2188" name="Drop Down 140" hidden="1">
              <a:extLst>
                <a:ext uri="{63B3BB69-23CF-44E3-9099-C40C66FF867C}">
                  <a14:compatExt spid="_x0000_s2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38101</xdr:colOff>
      <xdr:row>14</xdr:row>
      <xdr:rowOff>400050</xdr:rowOff>
    </xdr:from>
    <xdr:to>
      <xdr:col>4</xdr:col>
      <xdr:colOff>2026332</xdr:colOff>
      <xdr:row>14</xdr:row>
      <xdr:rowOff>1638300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Photocopy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647701" y="6153150"/>
          <a:ext cx="1988231" cy="1238250"/>
        </a:xfrm>
        <a:prstGeom prst="rect">
          <a:avLst/>
        </a:prstGeom>
      </xdr:spPr>
    </xdr:pic>
    <xdr:clientData/>
  </xdr:twoCellAnchor>
  <xdr:twoCellAnchor editAs="oneCell">
    <xdr:from>
      <xdr:col>2</xdr:col>
      <xdr:colOff>28576</xdr:colOff>
      <xdr:row>14</xdr:row>
      <xdr:rowOff>225425</xdr:rowOff>
    </xdr:from>
    <xdr:to>
      <xdr:col>2</xdr:col>
      <xdr:colOff>2233614</xdr:colOff>
      <xdr:row>14</xdr:row>
      <xdr:rowOff>1695450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38176" y="2378075"/>
          <a:ext cx="2205038" cy="1470025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</xdr:colOff>
      <xdr:row>13</xdr:row>
      <xdr:rowOff>215256</xdr:rowOff>
    </xdr:from>
    <xdr:to>
      <xdr:col>4</xdr:col>
      <xdr:colOff>2257425</xdr:colOff>
      <xdr:row>13</xdr:row>
      <xdr:rowOff>1703812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8650" y="4387206"/>
          <a:ext cx="2238375" cy="1488556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13</xdr:row>
      <xdr:rowOff>219075</xdr:rowOff>
    </xdr:from>
    <xdr:to>
      <xdr:col>2</xdr:col>
      <xdr:colOff>2311284</xdr:colOff>
      <xdr:row>13</xdr:row>
      <xdr:rowOff>1724025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76275" y="838200"/>
          <a:ext cx="2244609" cy="1504950"/>
        </a:xfrm>
        <a:prstGeom prst="rect">
          <a:avLst/>
        </a:prstGeom>
      </xdr:spPr>
    </xdr:pic>
    <xdr:clientData/>
  </xdr:twoCellAnchor>
  <xdr:twoCellAnchor>
    <xdr:from>
      <xdr:col>4</xdr:col>
      <xdr:colOff>323850</xdr:colOff>
      <xdr:row>18</xdr:row>
      <xdr:rowOff>85725</xdr:rowOff>
    </xdr:from>
    <xdr:to>
      <xdr:col>4</xdr:col>
      <xdr:colOff>2421321</xdr:colOff>
      <xdr:row>18</xdr:row>
      <xdr:rowOff>2047875</xdr:rowOff>
    </xdr:to>
    <xdr:pic>
      <xdr:nvPicPr>
        <xdr:cNvPr id="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6353175"/>
          <a:ext cx="2097471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47625</xdr:colOff>
      <xdr:row>18</xdr:row>
      <xdr:rowOff>285750</xdr:rowOff>
    </xdr:from>
    <xdr:to>
      <xdr:col>2</xdr:col>
      <xdr:colOff>2324100</xdr:colOff>
      <xdr:row>18</xdr:row>
      <xdr:rowOff>1707130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6553200"/>
          <a:ext cx="2276475" cy="1421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123825</xdr:colOff>
      <xdr:row>3</xdr:row>
      <xdr:rowOff>161925</xdr:rowOff>
    </xdr:from>
    <xdr:to>
      <xdr:col>2</xdr:col>
      <xdr:colOff>2099890</xdr:colOff>
      <xdr:row>3</xdr:row>
      <xdr:rowOff>1666875</xdr:rowOff>
    </xdr:to>
    <xdr:pic>
      <xdr:nvPicPr>
        <xdr:cNvPr id="10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876300"/>
          <a:ext cx="1976065" cy="1504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323850</xdr:colOff>
      <xdr:row>3</xdr:row>
      <xdr:rowOff>219075</xdr:rowOff>
    </xdr:from>
    <xdr:to>
      <xdr:col>4</xdr:col>
      <xdr:colOff>2604943</xdr:colOff>
      <xdr:row>3</xdr:row>
      <xdr:rowOff>1771651</xdr:rowOff>
    </xdr:to>
    <xdr:pic>
      <xdr:nvPicPr>
        <xdr:cNvPr id="1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933450"/>
          <a:ext cx="2281093" cy="15525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1038226</xdr:colOff>
      <xdr:row>4</xdr:row>
      <xdr:rowOff>190501</xdr:rowOff>
    </xdr:from>
    <xdr:to>
      <xdr:col>4</xdr:col>
      <xdr:colOff>1493890</xdr:colOff>
      <xdr:row>4</xdr:row>
      <xdr:rowOff>1657351</xdr:rowOff>
    </xdr:to>
    <xdr:pic>
      <xdr:nvPicPr>
        <xdr:cNvPr id="13" name="Рисунок 12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6" y="2762251"/>
          <a:ext cx="3170289" cy="1466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21</xdr:row>
      <xdr:rowOff>76200</xdr:rowOff>
    </xdr:from>
    <xdr:to>
      <xdr:col>4</xdr:col>
      <xdr:colOff>895350</xdr:colOff>
      <xdr:row>21</xdr:row>
      <xdr:rowOff>4733925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381000" y="11744325"/>
          <a:ext cx="3838575" cy="4657725"/>
        </a:xfrm>
        <a:prstGeom prst="rect">
          <a:avLst/>
        </a:prstGeom>
      </xdr:spPr>
    </xdr:pic>
    <xdr:clientData/>
  </xdr:twoCellAnchor>
  <xdr:twoCellAnchor>
    <xdr:from>
      <xdr:col>2</xdr:col>
      <xdr:colOff>139051</xdr:colOff>
      <xdr:row>7</xdr:row>
      <xdr:rowOff>38100</xdr:rowOff>
    </xdr:from>
    <xdr:to>
      <xdr:col>2</xdr:col>
      <xdr:colOff>1788519</xdr:colOff>
      <xdr:row>7</xdr:row>
      <xdr:rowOff>1581150</xdr:rowOff>
    </xdr:to>
    <xdr:pic>
      <xdr:nvPicPr>
        <xdr:cNvPr id="14" name="Рисунок 13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51" y="5048250"/>
          <a:ext cx="1649468" cy="1543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251373</xdr:colOff>
      <xdr:row>7</xdr:row>
      <xdr:rowOff>76193</xdr:rowOff>
    </xdr:from>
    <xdr:to>
      <xdr:col>4</xdr:col>
      <xdr:colOff>2461641</xdr:colOff>
      <xdr:row>7</xdr:row>
      <xdr:rowOff>1457325</xdr:rowOff>
    </xdr:to>
    <xdr:pic>
      <xdr:nvPicPr>
        <xdr:cNvPr id="15" name="Рисунок 14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5598" y="5086343"/>
          <a:ext cx="2210268" cy="13811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161925</xdr:colOff>
      <xdr:row>9</xdr:row>
      <xdr:rowOff>38100</xdr:rowOff>
    </xdr:from>
    <xdr:to>
      <xdr:col>2</xdr:col>
      <xdr:colOff>2045303</xdr:colOff>
      <xdr:row>9</xdr:row>
      <xdr:rowOff>1152525</xdr:rowOff>
    </xdr:to>
    <xdr:pic>
      <xdr:nvPicPr>
        <xdr:cNvPr id="16" name="Рисунок 15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7191375"/>
          <a:ext cx="1883378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390525</xdr:colOff>
      <xdr:row>9</xdr:row>
      <xdr:rowOff>57149</xdr:rowOff>
    </xdr:from>
    <xdr:to>
      <xdr:col>4</xdr:col>
      <xdr:colOff>2537965</xdr:colOff>
      <xdr:row>9</xdr:row>
      <xdr:rowOff>1209674</xdr:rowOff>
    </xdr:to>
    <xdr:pic>
      <xdr:nvPicPr>
        <xdr:cNvPr id="17" name="Рисунок 16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7210424"/>
          <a:ext cx="2147440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1545949</xdr:colOff>
      <xdr:row>11</xdr:row>
      <xdr:rowOff>76198</xdr:rowOff>
    </xdr:from>
    <xdr:to>
      <xdr:col>4</xdr:col>
      <xdr:colOff>746087</xdr:colOff>
      <xdr:row>11</xdr:row>
      <xdr:rowOff>1266825</xdr:rowOff>
    </xdr:to>
    <xdr:pic>
      <xdr:nvPicPr>
        <xdr:cNvPr id="18" name="Рисунок 17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5549" y="9115423"/>
          <a:ext cx="1914763" cy="11906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Таблица155" displayName="Таблица155" ref="D107:E111" totalsRowShown="0" headerRowDxfId="116" dataDxfId="115">
  <autoFilter ref="D107:E111"/>
  <tableColumns count="2">
    <tableColumn id="1" name="Столбец1" dataDxfId="114"/>
    <tableColumn id="2" name="Столбец2" dataDxfId="113"/>
  </tableColumns>
  <tableStyleInfo name="TableStyleLight15" showFirstColumn="0" showLastColumn="0" showRowStripes="1" showColumnStripes="0"/>
</table>
</file>

<file path=xl/tables/table10.xml><?xml version="1.0" encoding="utf-8"?>
<table xmlns="http://schemas.openxmlformats.org/spreadsheetml/2006/main" id="13" name="Таблица111" displayName="Таблица111" ref="D100:E104" totalsRowShown="0" headerRowDxfId="82" dataDxfId="81">
  <autoFilter ref="D100:E104"/>
  <tableColumns count="2">
    <tableColumn id="1" name="Столбец1" dataDxfId="80"/>
    <tableColumn id="2" name="Столбец2" dataDxfId="79"/>
  </tableColumns>
  <tableStyleInfo name="TableStyleLight15" showFirstColumn="0" showLastColumn="0" showRowStripes="1" showColumnStripes="0"/>
</table>
</file>

<file path=xl/tables/table11.xml><?xml version="1.0" encoding="utf-8"?>
<table xmlns="http://schemas.openxmlformats.org/spreadsheetml/2006/main" id="14" name="Таблица122" displayName="Таблица122" ref="D137:E141" totalsRowShown="0" headerRowDxfId="78" dataDxfId="77">
  <autoFilter ref="D137:E141"/>
  <tableColumns count="2">
    <tableColumn id="1" name="Столбец1" dataDxfId="76">
      <calculatedColumnFormula>IF(OFFSET(F138:F141,0,$A$29-1)=0,"",OFFSET(F138:F141,0,$A$29-1))</calculatedColumnFormula>
    </tableColumn>
    <tableColumn id="2" name="Столбец2" dataDxfId="75"/>
  </tableColumns>
  <tableStyleInfo name="TableStyleLight15" showFirstColumn="0" showLastColumn="0" showRowStripes="1" showColumnStripes="0"/>
</table>
</file>

<file path=xl/tables/table12.xml><?xml version="1.0" encoding="utf-8"?>
<table xmlns="http://schemas.openxmlformats.org/spreadsheetml/2006/main" id="15" name="Таблица133" displayName="Таблица133" ref="D120:F123" totalsRowShown="0" headerRowDxfId="74" dataDxfId="73">
  <autoFilter ref="D120:F123"/>
  <tableColumns count="3">
    <tableColumn id="1" name="Столбец1" dataDxfId="72">
      <calculatedColumnFormula>IF(A124=1,"LoRaWAN","нет")</calculatedColumnFormula>
    </tableColumn>
    <tableColumn id="2" name="Столбец2" dataDxfId="71"/>
    <tableColumn id="3" name="Столбец3" dataDxfId="70"/>
  </tableColumns>
  <tableStyleInfo name="TableStyleLight15" showFirstColumn="0" showLastColumn="0" showRowStripes="1" showColumnStripes="0"/>
</table>
</file>

<file path=xl/tables/table13.xml><?xml version="1.0" encoding="utf-8"?>
<table xmlns="http://schemas.openxmlformats.org/spreadsheetml/2006/main" id="17" name="Таблица16" displayName="Таблица16" ref="D114:E117" totalsRowShown="0" headerRowDxfId="69" dataDxfId="68">
  <autoFilter ref="D114:E117"/>
  <tableColumns count="2">
    <tableColumn id="1" name="Столбец1" dataDxfId="67"/>
    <tableColumn id="2" name="Столбец2" dataDxfId="66"/>
  </tableColumns>
  <tableStyleInfo name="TableStyleLight15" showFirstColumn="0" showLastColumn="0" showRowStripes="1" showColumnStripes="0"/>
</table>
</file>

<file path=xl/tables/table14.xml><?xml version="1.0" encoding="utf-8"?>
<table xmlns="http://schemas.openxmlformats.org/spreadsheetml/2006/main" id="18" name="Таблица188" displayName="Таблица188" ref="D132:E134" totalsRowShown="0" headerRowDxfId="65" dataDxfId="64">
  <autoFilter ref="D132:E134"/>
  <tableColumns count="2">
    <tableColumn id="1" name="Столбец1" dataDxfId="63"/>
    <tableColumn id="2" name="Столбец2" dataDxfId="62"/>
  </tableColumns>
  <tableStyleInfo name="TableStyleLight15" showFirstColumn="0" showLastColumn="0" showRowStripes="1" showColumnStripes="0"/>
</table>
</file>

<file path=xl/tables/table15.xml><?xml version="1.0" encoding="utf-8"?>
<table xmlns="http://schemas.openxmlformats.org/spreadsheetml/2006/main" id="9" name="Таблица4" displayName="Таблица4" ref="D61:E64" totalsRowShown="0" headerRowDxfId="61" dataDxfId="60">
  <autoFilter ref="D61:E64"/>
  <tableColumns count="2">
    <tableColumn id="1" name="Столбец1" dataDxfId="59">
      <calculatedColumnFormula>HLOOKUP($F$52,Таблица25[#All],4)</calculatedColumnFormula>
    </tableColumn>
    <tableColumn id="2" name="Столбец2" dataDxfId="58">
      <calculatedColumnFormula>IF(D62="","",", "&amp;D62&amp;"C")</calculatedColumnFormula>
    </tableColumn>
  </tableColumns>
  <tableStyleInfo name="TableStyleLight15" showFirstColumn="0" showLastColumn="0" showRowStripes="1" showColumnStripes="0"/>
</table>
</file>

<file path=xl/tables/table16.xml><?xml version="1.0" encoding="utf-8"?>
<table xmlns="http://schemas.openxmlformats.org/spreadsheetml/2006/main" id="6" name="Таблица8" displayName="Таблица8" ref="D144:F151" totalsRowShown="0" headerRowDxfId="57" dataDxfId="56">
  <autoFilter ref="D144:F151"/>
  <tableColumns count="3">
    <tableColumn id="1" name="Столбец1" dataDxfId="55"/>
    <tableColumn id="2" name="Столбец2" dataDxfId="54"/>
    <tableColumn id="3" name="Столбец3" dataDxfId="53"/>
  </tableColumns>
  <tableStyleInfo name="TableStyleLight15" showFirstColumn="0" showLastColumn="0" showRowStripes="1" showColumnStripes="0"/>
</table>
</file>

<file path=xl/tables/table17.xml><?xml version="1.0" encoding="utf-8"?>
<table xmlns="http://schemas.openxmlformats.org/spreadsheetml/2006/main" id="16" name="Таблица17" displayName="Таблица17" ref="D51:E56" totalsRowShown="0" headerRowDxfId="52" dataDxfId="51">
  <autoFilter ref="D51:E56"/>
  <tableColumns count="2">
    <tableColumn id="1" name="Столбец1" dataDxfId="50"/>
    <tableColumn id="2" name="Столбец2" dataDxfId="49">
      <calculatedColumnFormula>", "&amp;Таблица17[[#This Row],[Столбец1]]&amp;"C"</calculatedColumnFormula>
    </tableColumn>
  </tableColumns>
  <tableStyleInfo name="TableStyleLight15" showFirstColumn="0" showLastColumn="0" showRowStripes="1" showColumnStripes="0"/>
</table>
</file>

<file path=xl/tables/table18.xml><?xml version="1.0" encoding="utf-8"?>
<table xmlns="http://schemas.openxmlformats.org/spreadsheetml/2006/main" id="24" name="Таблица24" displayName="Таблица24" ref="H51:N56" totalsRowShown="0" headerRowDxfId="48" dataDxfId="47">
  <autoFilter ref="H51:N56"/>
  <tableColumns count="7">
    <tableColumn id="1" name="встроенный" dataDxfId="46"/>
    <tableColumn id="2" name="выносной для ввинчивания в термокарман" dataDxfId="45"/>
    <tableColumn id="3" name="выносной другой" dataDxfId="44"/>
    <tableColumn id="4" name="выносной накладной под винт" dataDxfId="43"/>
    <tableColumn id="5" name="выносной накладной под торцевое крепление" dataDxfId="42"/>
    <tableColumn id="6" name="выносной накладной с лыской" dataDxfId="41"/>
    <tableColumn id="7" name="отсутствует" dataDxfId="40"/>
  </tableColumns>
  <tableStyleInfo name="TableStyleLight15" showFirstColumn="0" showLastColumn="0" showRowStripes="1" showColumnStripes="0"/>
</table>
</file>

<file path=xl/tables/table19.xml><?xml version="1.0" encoding="utf-8"?>
<table xmlns="http://schemas.openxmlformats.org/spreadsheetml/2006/main" id="25" name="Таблица25" displayName="Таблица25" ref="H61:N64" totalsRowShown="0" headerRowDxfId="39" tableBorderDxfId="38">
  <autoFilter ref="H61:N64"/>
  <tableColumns count="7">
    <tableColumn id="1" name="встроенный"/>
    <tableColumn id="2" name="выносной для ввинчивания в термокарман"/>
    <tableColumn id="3" name="выносной другой"/>
    <tableColumn id="4" name="выносной накладной под винт"/>
    <tableColumn id="5" name="выносной накладной под торцевое крепление"/>
    <tableColumn id="6" name="выносной накладной с лыской"/>
    <tableColumn id="7" name="отсутствует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1" name="Таблица1" displayName="Таблица1" ref="D5:E17" totalsRowShown="0" headerRowDxfId="112" dataDxfId="111">
  <autoFilter ref="D5:E17"/>
  <tableColumns count="2">
    <tableColumn id="1" name="Столбец1" dataDxfId="110"/>
    <tableColumn id="2" name="Столбец2" dataDxfId="109"/>
  </tableColumns>
  <tableStyleInfo name="TableStyleLight15" showFirstColumn="0" showLastColumn="0" showRowStripes="1" showColumnStripes="0"/>
</table>
</file>

<file path=xl/tables/table20.xml><?xml version="1.0" encoding="utf-8"?>
<table xmlns="http://schemas.openxmlformats.org/spreadsheetml/2006/main" id="26" name="Таблица26" displayName="Таблица26" ref="D67:E69" totalsRowShown="0" headerRowDxfId="37" dataDxfId="36">
  <autoFilter ref="D67:E69"/>
  <tableColumns count="2">
    <tableColumn id="1" name="Столбец1" dataDxfId="35">
      <calculatedColumnFormula>IF(AND(A27=1,A33=1),"коммутационная (клеммная) головка","")</calculatedColumnFormula>
    </tableColumn>
    <tableColumn id="2" name="Столбец2" dataDxfId="34">
      <calculatedColumnFormula>IF(AND(A27=1,A33=1),"2","")</calculatedColumnFormula>
    </tableColumn>
  </tableColumns>
  <tableStyleInfo name="TableStyleLight15" showFirstColumn="0" showLastColumn="0" showRowStripes="1" showColumnStripes="0"/>
</table>
</file>

<file path=xl/tables/table21.xml><?xml version="1.0" encoding="utf-8"?>
<table xmlns="http://schemas.openxmlformats.org/spreadsheetml/2006/main" id="27" name="Таблица27" displayName="Таблица27" ref="H72:N76" totalsRowShown="0" headerRowDxfId="33" dataDxfId="32">
  <autoFilter ref="H72:N76"/>
  <tableColumns count="7">
    <tableColumn id="1" name="встроенный" dataDxfId="31"/>
    <tableColumn id="2" name="выносной для ввинчивания в термокарман" dataDxfId="30"/>
    <tableColumn id="3" name="выносной другой" dataDxfId="29"/>
    <tableColumn id="4" name="выносной накладной под винт" dataDxfId="28"/>
    <tableColumn id="5" name="выносной накладной под торцевое крепление" dataDxfId="27"/>
    <tableColumn id="6" name="выносной накладной с лыской" dataDxfId="26"/>
    <tableColumn id="7" name="отсутствует" dataDxfId="25"/>
  </tableColumns>
  <tableStyleInfo name="TableStyleLight15" showFirstColumn="0" showLastColumn="0" showRowStripes="1" showColumnStripes="0"/>
</table>
</file>

<file path=xl/tables/table22.xml><?xml version="1.0" encoding="utf-8"?>
<table xmlns="http://schemas.openxmlformats.org/spreadsheetml/2006/main" id="28" name="Таблица28" displayName="Таблица28" ref="H79:N84" totalsRowShown="0" headerRowDxfId="24" dataDxfId="22" headerRowBorderDxfId="23" tableBorderDxfId="21">
  <autoFilter ref="H79:N84"/>
  <tableColumns count="7">
    <tableColumn id="1" name="встроенный" dataDxfId="20"/>
    <tableColumn id="2" name="выносной для ввинчивания в термокарман" dataDxfId="19"/>
    <tableColumn id="3" name="выносной другой" dataDxfId="18"/>
    <tableColumn id="4" name="выносной накладной под винт" dataDxfId="17"/>
    <tableColumn id="5" name="выносной накладной под торцевое крепление" dataDxfId="16"/>
    <tableColumn id="6" name="выносной накладной с лыской" dataDxfId="15"/>
    <tableColumn id="7" name="отсутствует" dataDxfId="14"/>
  </tableColumns>
  <tableStyleInfo name="TableStyleLight15" showFirstColumn="0" showLastColumn="0" showRowStripes="1" showColumnStripes="0"/>
</table>
</file>

<file path=xl/tables/table23.xml><?xml version="1.0" encoding="utf-8"?>
<table xmlns="http://schemas.openxmlformats.org/spreadsheetml/2006/main" id="29" name="Таблица29" displayName="Таблица29" ref="H100:N104" totalsRowShown="0" headerRowDxfId="13" dataDxfId="11" headerRowBorderDxfId="12">
  <autoFilter ref="H100:N104"/>
  <tableColumns count="7">
    <tableColumn id="1" name="встроенный" dataDxfId="10"/>
    <tableColumn id="2" name="выносной для ввинчивания в термокарман" dataDxfId="9"/>
    <tableColumn id="3" name="выносной другой" dataDxfId="8"/>
    <tableColumn id="4" name="выносной накладной под винт" dataDxfId="7"/>
    <tableColumn id="5" name="выносной накладной под торцевое крепление" dataDxfId="6"/>
    <tableColumn id="6" name="выносной накладной с лыской" dataDxfId="5"/>
    <tableColumn id="7" name="отсутствует" dataDxfId="4"/>
  </tableColumns>
  <tableStyleInfo name="TableStyleLight15" showFirstColumn="0" showLastColumn="0" showRowStripes="1" showColumnStripes="0"/>
</table>
</file>

<file path=xl/tables/table24.xml><?xml version="1.0" encoding="utf-8"?>
<table xmlns="http://schemas.openxmlformats.org/spreadsheetml/2006/main" id="19" name="Таблица19" displayName="Таблица19" ref="D126:E129" totalsRowShown="0" headerRowDxfId="3" dataDxfId="2">
  <autoFilter ref="D126:E129"/>
  <tableColumns count="2">
    <tableColumn id="1" name="Столбец1" dataDxfId="1"/>
    <tableColumn id="2" name="Столбец2" dataDxfId="0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id="3" name="Таблица2" displayName="Таблица2" ref="D20:E26" totalsRowShown="0" headerRowDxfId="108" dataDxfId="107">
  <autoFilter ref="D20:E26"/>
  <tableColumns count="2">
    <tableColumn id="1" name="Столбец1" dataDxfId="106"/>
    <tableColumn id="2" name="Столбец2" dataDxfId="105"/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id="4" name="Таблица5" displayName="Таблица5" ref="D29:D32" totalsRowShown="0" headerRowDxfId="104" dataDxfId="103">
  <autoFilter ref="D29:D32"/>
  <tableColumns count="1">
    <tableColumn id="1" name="Столбец1" dataDxfId="102">
      <calculatedColumnFormula>IF(OFFSET(F30,0,#REF!-1)=0,"",OFFSET(F30,0,#REF!-1))</calculatedColumnFormula>
    </tableColumn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id="7" name="Таблица66" displayName="Таблица66" ref="D72:E76" totalsRowShown="0" headerRowDxfId="101" dataDxfId="100">
  <autoFilter ref="D72:E76"/>
  <tableColumns count="2">
    <tableColumn id="1" name="Столбец1" dataDxfId="99"/>
    <tableColumn id="2" name="Столбец2" dataDxfId="98">
      <calculatedColumnFormula>IF(D73="","",", "&amp;D73&amp;"C")</calculatedColumnFormula>
    </tableColumn>
  </tableColumns>
  <tableStyleInfo name="TableStyleLight15" showFirstColumn="0" showLastColumn="0" showRowStripes="1" showColumnStripes="0"/>
</table>
</file>

<file path=xl/tables/table6.xml><?xml version="1.0" encoding="utf-8"?>
<table xmlns="http://schemas.openxmlformats.org/spreadsheetml/2006/main" id="8" name="Таблица77" displayName="Таблица77" ref="D79:E84" totalsRowShown="0" headerRowDxfId="97" dataDxfId="96">
  <autoFilter ref="D79:E84"/>
  <tableColumns count="2">
    <tableColumn id="1" name="Столбец1" dataDxfId="95"/>
    <tableColumn id="2" name="Столбец2" dataDxfId="94">
      <calculatedColumnFormula>IF(D80="","",D80&amp;"мм")</calculatedColumnFormula>
    </tableColumn>
  </tableColumns>
  <tableStyleInfo name="TableStyleLight15" showFirstColumn="0" showLastColumn="0" showRowStripes="1" showColumnStripes="0"/>
</table>
</file>

<file path=xl/tables/table7.xml><?xml version="1.0" encoding="utf-8"?>
<table xmlns="http://schemas.openxmlformats.org/spreadsheetml/2006/main" id="10" name="Таблица6" displayName="Таблица6" ref="D43:D48" totalsRowShown="0" headerRowDxfId="93" dataDxfId="92">
  <autoFilter ref="D43:D48"/>
  <tableColumns count="1">
    <tableColumn id="1" name="Столбец1" dataDxfId="91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id="11" name="Таблица7" displayName="Таблица7" ref="D35:E40" totalsRowShown="0" headerRowDxfId="90" dataDxfId="89">
  <autoFilter ref="D35:E40"/>
  <tableColumns count="2">
    <tableColumn id="1" name="Столбец1" dataDxfId="88">
      <calculatedColumnFormula>OFFSET(F36,0,A27-1)</calculatedColumnFormula>
    </tableColumn>
    <tableColumn id="5" name="Столбец2" dataDxfId="87">
      <calculatedColumnFormula>OFFSET(J36,0,$A$29-1)</calculatedColumnFormula>
    </tableColumn>
  </tableColumns>
  <tableStyleInfo name="TableStyleLight15" showFirstColumn="0" showLastColumn="0" showRowStripes="1" showColumnStripes="0"/>
</table>
</file>

<file path=xl/tables/table9.xml><?xml version="1.0" encoding="utf-8"?>
<table xmlns="http://schemas.openxmlformats.org/spreadsheetml/2006/main" id="12" name="Таблица100" displayName="Таблица100" ref="D87:E97" totalsRowShown="0" headerRowDxfId="86" dataDxfId="85">
  <autoFilter ref="D87:E97"/>
  <tableColumns count="2">
    <tableColumn id="1" name="Столбец1" dataDxfId="84">
      <calculatedColumnFormula>IF(OFFSET(F88:F97,0,$A$29-1)=0,"",OFFSET(F88:F97,0,$A$29-1))</calculatedColumnFormula>
    </tableColumn>
    <tableColumn id="2" name="Столбец2" dataDxfId="83">
      <calculatedColumnFormula>IF(D88="","",", "&amp;D88&amp;"м")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8.xml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9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4.emf"/><Relationship Id="rId34" Type="http://schemas.openxmlformats.org/officeDocument/2006/relationships/ctrlProp" Target="../ctrlProps/ctrlProp5.xml"/><Relationship Id="rId42" Type="http://schemas.openxmlformats.org/officeDocument/2006/relationships/ctrlProp" Target="../ctrlProps/ctrlProp13.xml"/><Relationship Id="rId47" Type="http://schemas.openxmlformats.org/officeDocument/2006/relationships/ctrlProp" Target="../ctrlProps/ctrlProp18.x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7.xml"/><Relationship Id="rId17" Type="http://schemas.openxmlformats.org/officeDocument/2006/relationships/control" Target="../activeX/activeX12.xml"/><Relationship Id="rId25" Type="http://schemas.openxmlformats.org/officeDocument/2006/relationships/image" Target="../media/image6.emf"/><Relationship Id="rId33" Type="http://schemas.openxmlformats.org/officeDocument/2006/relationships/ctrlProp" Target="../ctrlProps/ctrlProp4.xml"/><Relationship Id="rId38" Type="http://schemas.openxmlformats.org/officeDocument/2006/relationships/ctrlProp" Target="../ctrlProps/ctrlProp9.xml"/><Relationship Id="rId46" Type="http://schemas.openxmlformats.org/officeDocument/2006/relationships/ctrlProp" Target="../ctrlProps/ctrlProp17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1.xml"/><Relationship Id="rId20" Type="http://schemas.openxmlformats.org/officeDocument/2006/relationships/control" Target="../activeX/activeX14.xml"/><Relationship Id="rId29" Type="http://schemas.openxmlformats.org/officeDocument/2006/relationships/image" Target="../media/image7.emf"/><Relationship Id="rId41" Type="http://schemas.openxmlformats.org/officeDocument/2006/relationships/ctrlProp" Target="../ctrlProps/ctrlProp1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2.emf"/><Relationship Id="rId24" Type="http://schemas.openxmlformats.org/officeDocument/2006/relationships/control" Target="../activeX/activeX16.xml"/><Relationship Id="rId32" Type="http://schemas.openxmlformats.org/officeDocument/2006/relationships/ctrlProp" Target="../ctrlProps/ctrlProp3.xml"/><Relationship Id="rId37" Type="http://schemas.openxmlformats.org/officeDocument/2006/relationships/ctrlProp" Target="../ctrlProps/ctrlProp8.xml"/><Relationship Id="rId40" Type="http://schemas.openxmlformats.org/officeDocument/2006/relationships/ctrlProp" Target="../ctrlProps/ctrlProp11.xml"/><Relationship Id="rId45" Type="http://schemas.openxmlformats.org/officeDocument/2006/relationships/ctrlProp" Target="../ctrlProps/ctrlProp16.xml"/><Relationship Id="rId5" Type="http://schemas.openxmlformats.org/officeDocument/2006/relationships/image" Target="../media/image1.emf"/><Relationship Id="rId15" Type="http://schemas.openxmlformats.org/officeDocument/2006/relationships/control" Target="../activeX/activeX10.xml"/><Relationship Id="rId23" Type="http://schemas.openxmlformats.org/officeDocument/2006/relationships/image" Target="../media/image5.emf"/><Relationship Id="rId28" Type="http://schemas.openxmlformats.org/officeDocument/2006/relationships/control" Target="../activeX/activeX19.xml"/><Relationship Id="rId36" Type="http://schemas.openxmlformats.org/officeDocument/2006/relationships/ctrlProp" Target="../ctrlProps/ctrlProp7.xml"/><Relationship Id="rId49" Type="http://schemas.openxmlformats.org/officeDocument/2006/relationships/comments" Target="../comments1.xml"/><Relationship Id="rId10" Type="http://schemas.openxmlformats.org/officeDocument/2006/relationships/control" Target="../activeX/activeX6.xml"/><Relationship Id="rId19" Type="http://schemas.openxmlformats.org/officeDocument/2006/relationships/image" Target="../media/image3.emf"/><Relationship Id="rId31" Type="http://schemas.openxmlformats.org/officeDocument/2006/relationships/ctrlProp" Target="../ctrlProps/ctrlProp2.xml"/><Relationship Id="rId44" Type="http://schemas.openxmlformats.org/officeDocument/2006/relationships/ctrlProp" Target="../ctrlProps/ctrlProp15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control" Target="../activeX/activeX9.xml"/><Relationship Id="rId22" Type="http://schemas.openxmlformats.org/officeDocument/2006/relationships/control" Target="../activeX/activeX15.xml"/><Relationship Id="rId27" Type="http://schemas.openxmlformats.org/officeDocument/2006/relationships/control" Target="../activeX/activeX18.xml"/><Relationship Id="rId30" Type="http://schemas.openxmlformats.org/officeDocument/2006/relationships/ctrlProp" Target="../ctrlProps/ctrlProp1.xml"/><Relationship Id="rId35" Type="http://schemas.openxmlformats.org/officeDocument/2006/relationships/ctrlProp" Target="../ctrlProps/ctrlProp6.xml"/><Relationship Id="rId43" Type="http://schemas.openxmlformats.org/officeDocument/2006/relationships/ctrlProp" Target="../ctrlProps/ctrlProp14.xml"/><Relationship Id="rId48" Type="http://schemas.openxmlformats.org/officeDocument/2006/relationships/ctrlProp" Target="../ctrlProps/ctrlProp19.xml"/><Relationship Id="rId8" Type="http://schemas.openxmlformats.org/officeDocument/2006/relationships/control" Target="../activeX/activeX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outlinePr summaryBelow="0" summaryRight="0"/>
  </sheetPr>
  <dimension ref="A1:G45"/>
  <sheetViews>
    <sheetView tabSelected="1" zoomScaleNormal="100" zoomScaleSheetLayoutView="115" workbookViewId="0">
      <selection activeCell="D80" sqref="D80"/>
    </sheetView>
  </sheetViews>
  <sheetFormatPr defaultRowHeight="12.75" x14ac:dyDescent="0.2"/>
  <cols>
    <col min="1" max="1" width="3.140625" customWidth="1"/>
    <col min="2" max="2" width="3.28515625" customWidth="1"/>
    <col min="3" max="3" width="53.28515625" customWidth="1"/>
    <col min="4" max="4" width="47.28515625" customWidth="1"/>
    <col min="5" max="5" width="1.7109375" customWidth="1"/>
    <col min="6" max="6" width="24" customWidth="1"/>
    <col min="7" max="7" width="4" style="3" customWidth="1"/>
    <col min="8" max="8" width="44.85546875" customWidth="1"/>
    <col min="9" max="9" width="22.85546875" customWidth="1"/>
    <col min="10" max="15" width="10.42578125" customWidth="1"/>
    <col min="16" max="18" width="19.28515625" customWidth="1"/>
  </cols>
  <sheetData>
    <row r="1" spans="1:6" ht="46.5" customHeight="1" x14ac:dyDescent="0.25">
      <c r="A1" s="18"/>
      <c r="B1" s="18"/>
      <c r="C1" s="19" t="s">
        <v>5</v>
      </c>
      <c r="D1" s="20"/>
      <c r="E1" s="18"/>
      <c r="F1" s="21" t="s">
        <v>17</v>
      </c>
    </row>
    <row r="2" spans="1:6" ht="18" customHeight="1" x14ac:dyDescent="0.25">
      <c r="A2" s="18"/>
      <c r="B2" s="22" t="s">
        <v>6</v>
      </c>
      <c r="C2" s="22"/>
      <c r="D2" s="22"/>
      <c r="E2" s="22"/>
      <c r="F2" s="21"/>
    </row>
    <row r="3" spans="1:6" ht="35.25" customHeight="1" x14ac:dyDescent="0.25">
      <c r="A3" s="18"/>
      <c r="B3" s="22"/>
      <c r="C3" s="21" t="s">
        <v>8</v>
      </c>
      <c r="D3" s="22"/>
      <c r="E3" s="22"/>
      <c r="F3" s="23" t="s">
        <v>40</v>
      </c>
    </row>
    <row r="4" spans="1:6" ht="32.25" customHeight="1" x14ac:dyDescent="0.25">
      <c r="A4" s="18"/>
      <c r="B4" s="22"/>
      <c r="C4" s="21" t="s">
        <v>34</v>
      </c>
      <c r="D4" s="22"/>
      <c r="E4" s="22"/>
      <c r="F4" s="24" t="s">
        <v>40</v>
      </c>
    </row>
    <row r="5" spans="1:6" ht="21.75" customHeight="1" x14ac:dyDescent="0.25">
      <c r="A5" s="18"/>
      <c r="B5" s="22" t="s">
        <v>7</v>
      </c>
      <c r="C5" s="21"/>
      <c r="D5" s="22"/>
      <c r="E5" s="22"/>
      <c r="F5" s="24"/>
    </row>
    <row r="6" spans="1:6" ht="22.5" customHeight="1" x14ac:dyDescent="0.25">
      <c r="A6" s="25" t="s">
        <v>43</v>
      </c>
      <c r="C6" s="22" t="s">
        <v>83</v>
      </c>
      <c r="D6" s="22"/>
      <c r="E6" s="22"/>
      <c r="F6" s="24"/>
    </row>
    <row r="7" spans="1:6" ht="22.5" customHeight="1" x14ac:dyDescent="0.25">
      <c r="A7" s="25" t="str">
        <f>IF(Лист1!A29=3,"","?")</f>
        <v>?</v>
      </c>
      <c r="B7" s="18"/>
      <c r="C7" s="133" t="str">
        <f>IF(Лист1!A29=3,"","Конструктивное исполнение термощупа")</f>
        <v>Конструктивное исполнение термощупа</v>
      </c>
      <c r="D7" s="18"/>
      <c r="E7" s="18"/>
      <c r="F7" s="29" t="s">
        <v>40</v>
      </c>
    </row>
    <row r="8" spans="1:6" ht="22.5" customHeight="1" x14ac:dyDescent="0.25">
      <c r="A8" s="25" t="str">
        <f>IF(Лист1!A29=1,"?","")</f>
        <v>?</v>
      </c>
      <c r="B8" s="18"/>
      <c r="C8" s="21" t="str">
        <f>IF(Лист1!A29=1,"Конструкция термощупа","")</f>
        <v>Конструкция термощупа</v>
      </c>
      <c r="D8" s="22"/>
      <c r="E8" s="22"/>
      <c r="F8" s="26" t="s">
        <v>40</v>
      </c>
    </row>
    <row r="9" spans="1:6" ht="22.5" customHeight="1" x14ac:dyDescent="0.25">
      <c r="A9" s="34"/>
      <c r="B9" s="49"/>
      <c r="C9" s="50" t="s">
        <v>32</v>
      </c>
      <c r="D9" s="49"/>
      <c r="E9" s="49"/>
      <c r="F9" s="51" t="s">
        <v>40</v>
      </c>
    </row>
    <row r="10" spans="1:6" ht="22.5" customHeight="1" x14ac:dyDescent="0.25">
      <c r="A10" s="18"/>
      <c r="B10" s="22"/>
      <c r="C10" s="21" t="s">
        <v>33</v>
      </c>
      <c r="D10" s="22"/>
      <c r="E10" s="22"/>
      <c r="F10" s="24"/>
    </row>
    <row r="11" spans="1:6" ht="22.5" customHeight="1" x14ac:dyDescent="0.25">
      <c r="A11" s="18"/>
      <c r="B11" s="22"/>
      <c r="C11" s="21" t="str">
        <f>IF(Лист1!A29=3,"","Длина термощупа (от 25 до 400), мм")</f>
        <v>Длина термощупа (от 25 до 400), мм</v>
      </c>
      <c r="D11" s="22"/>
      <c r="E11" s="22"/>
      <c r="F11" s="24" t="s">
        <v>40</v>
      </c>
    </row>
    <row r="12" spans="1:6" ht="22.5" customHeight="1" x14ac:dyDescent="0.25">
      <c r="A12" s="18"/>
      <c r="B12" s="22"/>
      <c r="C12" s="21" t="str">
        <f>IF(Лист1!A29=3,"","Диаметр термощупа, мм")</f>
        <v>Диаметр термощупа, мм</v>
      </c>
      <c r="D12" s="22"/>
      <c r="E12" s="22"/>
      <c r="F12" s="24" t="s">
        <v>40</v>
      </c>
    </row>
    <row r="13" spans="1:6" ht="22.5" customHeight="1" x14ac:dyDescent="0.25">
      <c r="A13" s="25" t="str">
        <f>IF(Лист1!A29=1,"?","")</f>
        <v>?</v>
      </c>
      <c r="B13" s="18"/>
      <c r="C13" s="21" t="str">
        <f>IF(Лист1!A29=1,"Способ подключения кабеля к термощупу","")</f>
        <v>Способ подключения кабеля к термощупу</v>
      </c>
      <c r="D13" s="22"/>
      <c r="E13" s="22"/>
      <c r="F13" s="26" t="s">
        <v>40</v>
      </c>
    </row>
    <row r="14" spans="1:6" ht="22.5" customHeight="1" x14ac:dyDescent="0.25">
      <c r="A14" s="18"/>
      <c r="B14" s="22"/>
      <c r="C14" s="21" t="str">
        <f>IF(Лист1!A29=1,"Длина кабеля, м","")</f>
        <v>Длина кабеля, м</v>
      </c>
      <c r="D14" s="22"/>
      <c r="E14" s="22"/>
      <c r="F14" s="24" t="s">
        <v>40</v>
      </c>
    </row>
    <row r="15" spans="1:6" ht="22.5" customHeight="1" x14ac:dyDescent="0.25">
      <c r="A15" s="18"/>
      <c r="B15" s="18"/>
      <c r="C15" s="22" t="str">
        <f>IF(Лист1!A29=1,"Защита кабеля","")</f>
        <v>Защита кабеля</v>
      </c>
      <c r="D15" s="22"/>
      <c r="E15" s="22"/>
      <c r="F15" s="24" t="s">
        <v>40</v>
      </c>
    </row>
    <row r="16" spans="1:6" ht="22.5" customHeight="1" x14ac:dyDescent="0.25">
      <c r="A16" s="18"/>
      <c r="B16" s="22" t="s">
        <v>9</v>
      </c>
      <c r="C16" s="22"/>
      <c r="D16" s="22"/>
      <c r="E16" s="22"/>
      <c r="F16" s="24"/>
    </row>
    <row r="17" spans="1:6" ht="22.5" customHeight="1" x14ac:dyDescent="0.25">
      <c r="A17" s="18"/>
      <c r="B17" s="27" t="s">
        <v>10</v>
      </c>
      <c r="C17" s="18"/>
      <c r="D17" s="22"/>
      <c r="E17" s="22"/>
      <c r="F17" s="24" t="s">
        <v>40</v>
      </c>
    </row>
    <row r="18" spans="1:6" ht="22.5" customHeight="1" x14ac:dyDescent="0.25">
      <c r="A18" s="18"/>
      <c r="B18" s="22" t="s">
        <v>100</v>
      </c>
      <c r="C18" s="22"/>
      <c r="D18" s="22"/>
      <c r="E18" s="22"/>
      <c r="F18" s="24"/>
    </row>
    <row r="19" spans="1:6" ht="22.5" customHeight="1" x14ac:dyDescent="0.25">
      <c r="A19" s="18"/>
      <c r="B19" s="22" t="s">
        <v>139</v>
      </c>
      <c r="C19" s="22"/>
      <c r="D19" s="22"/>
      <c r="E19" s="22"/>
      <c r="F19" s="24"/>
    </row>
    <row r="20" spans="1:6" ht="22.5" customHeight="1" x14ac:dyDescent="0.25">
      <c r="A20" s="18"/>
      <c r="B20" s="22" t="s">
        <v>23</v>
      </c>
      <c r="C20" s="22"/>
      <c r="D20" s="22"/>
      <c r="E20" s="18"/>
      <c r="F20" s="18"/>
    </row>
    <row r="21" spans="1:6" ht="29.25" customHeight="1" x14ac:dyDescent="0.25">
      <c r="A21" s="18"/>
      <c r="B21" s="22" t="s">
        <v>111</v>
      </c>
      <c r="C21" s="22"/>
      <c r="D21" s="18"/>
      <c r="E21" s="22"/>
      <c r="F21" s="24" t="s">
        <v>82</v>
      </c>
    </row>
    <row r="22" spans="1:6" ht="23.25" customHeight="1" x14ac:dyDescent="0.25">
      <c r="A22" s="18"/>
      <c r="B22" s="22"/>
      <c r="C22" s="21" t="s">
        <v>24</v>
      </c>
      <c r="D22" s="22"/>
      <c r="E22" s="22"/>
      <c r="F22" s="24" t="s">
        <v>40</v>
      </c>
    </row>
    <row r="23" spans="1:6" ht="23.25" customHeight="1" x14ac:dyDescent="0.25">
      <c r="A23" s="25" t="s">
        <v>43</v>
      </c>
      <c r="B23" s="22"/>
      <c r="C23" s="21" t="s">
        <v>110</v>
      </c>
      <c r="D23" s="22"/>
      <c r="E23" s="22"/>
      <c r="F23" s="24"/>
    </row>
    <row r="24" spans="1:6" ht="96" customHeight="1" x14ac:dyDescent="0.25">
      <c r="A24" s="18"/>
      <c r="B24" s="22"/>
      <c r="C24" s="47" t="str">
        <f>Лист1!C145</f>
        <v/>
      </c>
      <c r="D24" s="48" t="s">
        <v>40</v>
      </c>
      <c r="E24" s="22"/>
      <c r="F24" s="24"/>
    </row>
    <row r="25" spans="1:6" ht="57.75" customHeight="1" x14ac:dyDescent="0.25">
      <c r="A25" s="18"/>
      <c r="B25" s="28" t="s">
        <v>15</v>
      </c>
      <c r="C25" s="22"/>
      <c r="D25" s="24" t="s">
        <v>40</v>
      </c>
      <c r="E25" s="22"/>
      <c r="F25" s="24"/>
    </row>
    <row r="26" spans="1:6" ht="10.5" customHeight="1" x14ac:dyDescent="0.25">
      <c r="A26" s="18"/>
      <c r="B26" s="22"/>
      <c r="C26" s="22"/>
      <c r="D26" s="22"/>
      <c r="E26" s="22"/>
      <c r="F26" s="22"/>
    </row>
    <row r="27" spans="1:6" ht="25.5" customHeight="1" x14ac:dyDescent="0.25">
      <c r="A27" s="18"/>
      <c r="B27" s="22" t="s">
        <v>48</v>
      </c>
      <c r="C27" s="22"/>
      <c r="D27" s="24"/>
      <c r="E27" s="22"/>
      <c r="F27" s="22"/>
    </row>
    <row r="28" spans="1:6" x14ac:dyDescent="0.2">
      <c r="A28" s="18"/>
      <c r="B28" s="18"/>
      <c r="C28" s="18"/>
      <c r="D28" s="29"/>
      <c r="E28" s="18"/>
      <c r="F28" s="18"/>
    </row>
    <row r="29" spans="1:6" ht="15.75" x14ac:dyDescent="0.25">
      <c r="A29" s="18"/>
      <c r="B29" s="22" t="s">
        <v>0</v>
      </c>
      <c r="C29" s="22"/>
      <c r="D29" s="29"/>
      <c r="E29" s="18"/>
      <c r="F29" s="18"/>
    </row>
    <row r="30" spans="1:6" ht="24.95" customHeight="1" x14ac:dyDescent="0.25">
      <c r="A30" s="18"/>
      <c r="B30" s="22"/>
      <c r="C30" s="22" t="s">
        <v>1</v>
      </c>
      <c r="D30" s="30"/>
      <c r="E30" s="31"/>
      <c r="F30" s="18"/>
    </row>
    <row r="31" spans="1:6" ht="24.95" customHeight="1" x14ac:dyDescent="0.25">
      <c r="A31" s="18"/>
      <c r="B31" s="22"/>
      <c r="C31" s="22" t="s">
        <v>2</v>
      </c>
      <c r="D31" s="30"/>
      <c r="E31" s="31"/>
      <c r="F31" s="18"/>
    </row>
    <row r="32" spans="1:6" ht="24.95" customHeight="1" x14ac:dyDescent="0.25">
      <c r="A32" s="18"/>
      <c r="B32" s="22"/>
      <c r="C32" s="22" t="s">
        <v>3</v>
      </c>
      <c r="D32" s="30" t="s">
        <v>40</v>
      </c>
      <c r="E32" s="31"/>
      <c r="F32" s="18"/>
    </row>
    <row r="33" spans="1:6" ht="24.95" customHeight="1" x14ac:dyDescent="0.25">
      <c r="A33" s="18"/>
      <c r="B33" s="22"/>
      <c r="C33" s="22" t="s">
        <v>4</v>
      </c>
      <c r="D33" s="30"/>
      <c r="E33" s="31"/>
      <c r="F33" s="18"/>
    </row>
    <row r="34" spans="1:6" x14ac:dyDescent="0.2">
      <c r="A34" s="33"/>
      <c r="B34" s="33"/>
      <c r="C34" s="33"/>
      <c r="D34" s="33"/>
      <c r="E34" s="33"/>
      <c r="F34" s="18"/>
    </row>
    <row r="35" spans="1:6" s="3" customFormat="1" ht="7.5" customHeight="1" x14ac:dyDescent="0.2">
      <c r="A35" s="35"/>
      <c r="B35" s="35"/>
      <c r="C35" s="35"/>
      <c r="D35" s="35"/>
      <c r="E35" s="35"/>
      <c r="F35" s="32"/>
    </row>
    <row r="36" spans="1:6" ht="15.75" x14ac:dyDescent="0.25">
      <c r="A36" s="35"/>
      <c r="B36" s="36" t="s">
        <v>18</v>
      </c>
      <c r="C36" s="36"/>
      <c r="D36" s="35"/>
      <c r="E36" s="35"/>
      <c r="F36" s="32"/>
    </row>
    <row r="37" spans="1:6" ht="15.75" x14ac:dyDescent="0.25">
      <c r="A37" s="35"/>
      <c r="B37" s="36"/>
      <c r="C37" s="37" t="str">
        <f ca="1">Лист1!A158</f>
        <v>Термоманометр "Автон" (16МПа, 0.25%, -40..+85C, 1C, ТЩ3-46мм-5мм, 1м, М20х1.5, LoRa)</v>
      </c>
      <c r="D37" s="38"/>
      <c r="E37" s="35"/>
      <c r="F37" s="32"/>
    </row>
    <row r="38" spans="1:6" ht="15.75" x14ac:dyDescent="0.25">
      <c r="A38" s="35"/>
      <c r="B38" s="36" t="s">
        <v>109</v>
      </c>
      <c r="C38" s="42"/>
      <c r="D38" s="42"/>
      <c r="E38" s="35"/>
      <c r="F38" s="32"/>
    </row>
    <row r="39" spans="1:6" ht="15.75" x14ac:dyDescent="0.25">
      <c r="A39" s="35"/>
      <c r="B39" s="39"/>
      <c r="C39" s="126" t="str">
        <f ca="1">Лист1!A162</f>
        <v/>
      </c>
      <c r="D39" s="127"/>
      <c r="E39" s="41"/>
      <c r="F39" s="32"/>
    </row>
    <row r="40" spans="1:6" ht="111" customHeight="1" x14ac:dyDescent="0.25">
      <c r="A40" s="35"/>
      <c r="B40" s="39"/>
      <c r="C40" s="124" t="str">
        <f>Лист1!A163</f>
        <v/>
      </c>
      <c r="D40" s="125"/>
      <c r="E40" s="41"/>
      <c r="F40" s="32"/>
    </row>
    <row r="41" spans="1:6" ht="15.75" x14ac:dyDescent="0.25">
      <c r="A41" s="35"/>
      <c r="B41" s="36" t="s">
        <v>15</v>
      </c>
      <c r="C41" s="43"/>
      <c r="D41" s="43"/>
      <c r="E41" s="35"/>
      <c r="F41" s="32"/>
    </row>
    <row r="42" spans="1:6" ht="15.75" x14ac:dyDescent="0.25">
      <c r="A42" s="35"/>
      <c r="B42" s="40"/>
      <c r="C42" s="120" t="str">
        <f ca="1">Лист1!C43</f>
        <v>Способ крепления термощупа: штуцер подвижный</v>
      </c>
      <c r="D42" s="121"/>
      <c r="E42" s="41"/>
      <c r="F42" s="32"/>
    </row>
    <row r="43" spans="1:6" ht="66" customHeight="1" x14ac:dyDescent="0.2">
      <c r="A43" s="35"/>
      <c r="B43" s="40"/>
      <c r="C43" s="122" t="str">
        <f>D25</f>
        <v/>
      </c>
      <c r="D43" s="123"/>
      <c r="E43" s="41"/>
      <c r="F43" s="32"/>
    </row>
    <row r="44" spans="1:6" ht="6.75" customHeight="1" x14ac:dyDescent="0.2">
      <c r="A44" s="35"/>
      <c r="B44" s="35"/>
      <c r="C44" s="44"/>
      <c r="D44" s="44"/>
      <c r="E44" s="35"/>
      <c r="F44" s="32"/>
    </row>
    <row r="45" spans="1:6" x14ac:dyDescent="0.2">
      <c r="A45" s="34"/>
      <c r="B45" s="34"/>
      <c r="C45" s="34"/>
      <c r="D45" s="34"/>
      <c r="E45" s="34"/>
      <c r="F45" s="18"/>
    </row>
  </sheetData>
  <mergeCells count="4">
    <mergeCell ref="C42:D42"/>
    <mergeCell ref="C43:D43"/>
    <mergeCell ref="C40:D40"/>
    <mergeCell ref="C39:D39"/>
  </mergeCells>
  <hyperlinks>
    <hyperlink ref="A8" location="Способы_крепления_термощупа" display="?"/>
    <hyperlink ref="A13" location="Способ_подключения_кабеля_к_термощупу" display="?"/>
    <hyperlink ref="A6" location="Конструктивные_исполнения_по_месту_измерения_температуры" display="?"/>
    <hyperlink ref="A23" location="Пример_компоновки_арматуры_присоединительной" display="?"/>
    <hyperlink ref="A7" location="Конструктивные_исполнения_термощупов" display="?"/>
  </hyperlinks>
  <pageMargins left="0.35433070866141736" right="0.15748031496062992" top="0.51181102362204722" bottom="0.43307086614173229" header="0.31496062992125984" footer="0.31496062992125984"/>
  <pageSetup paperSize="9" scale="76" fitToHeight="2" orientation="portrait" r:id="rId1"/>
  <rowBreaks count="1" manualBreakCount="1">
    <brk id="34" max="5" man="1"/>
  </rowBreaks>
  <drawing r:id="rId2"/>
  <legacyDrawing r:id="rId3"/>
  <controls>
    <mc:AlternateContent xmlns:mc="http://schemas.openxmlformats.org/markup-compatibility/2006">
      <mc:Choice Requires="x14">
        <control shapeId="2186" r:id="rId4" name="TextBox19">
          <controlPr defaultSize="0" autoLine="0" linkedCell="F13" r:id="rId5">
            <anchor moveWithCells="1">
              <from>
                <xdr:col>5</xdr:col>
                <xdr:colOff>0</xdr:colOff>
                <xdr:row>12</xdr:row>
                <xdr:rowOff>38100</xdr:rowOff>
              </from>
              <to>
                <xdr:col>5</xdr:col>
                <xdr:colOff>1562100</xdr:colOff>
                <xdr:row>13</xdr:row>
                <xdr:rowOff>9525</xdr:rowOff>
              </to>
            </anchor>
          </controlPr>
        </control>
      </mc:Choice>
      <mc:Fallback>
        <control shapeId="2186" r:id="rId4" name="TextBox19"/>
      </mc:Fallback>
    </mc:AlternateContent>
    <mc:AlternateContent xmlns:mc="http://schemas.openxmlformats.org/markup-compatibility/2006">
      <mc:Choice Requires="x14">
        <control shapeId="2185" r:id="rId6" name="TextBox11">
          <controlPr defaultSize="0" autoLine="0" linkedCell="F7" r:id="rId5">
            <anchor moveWithCells="1">
              <from>
                <xdr:col>5</xdr:col>
                <xdr:colOff>0</xdr:colOff>
                <xdr:row>6</xdr:row>
                <xdr:rowOff>66675</xdr:rowOff>
              </from>
              <to>
                <xdr:col>5</xdr:col>
                <xdr:colOff>1562100</xdr:colOff>
                <xdr:row>7</xdr:row>
                <xdr:rowOff>38100</xdr:rowOff>
              </to>
            </anchor>
          </controlPr>
        </control>
      </mc:Choice>
      <mc:Fallback>
        <control shapeId="2185" r:id="rId6" name="TextBox11"/>
      </mc:Fallback>
    </mc:AlternateContent>
    <mc:AlternateContent xmlns:mc="http://schemas.openxmlformats.org/markup-compatibility/2006">
      <mc:Choice Requires="x14">
        <control shapeId="2130" r:id="rId7" name="TextBox2">
          <controlPr defaultSize="0" autoLine="0" linkedCell="F4" r:id="rId5">
            <anchor moveWithCells="1">
              <from>
                <xdr:col>5</xdr:col>
                <xdr:colOff>0</xdr:colOff>
                <xdr:row>3</xdr:row>
                <xdr:rowOff>76200</xdr:rowOff>
              </from>
              <to>
                <xdr:col>5</xdr:col>
                <xdr:colOff>1562100</xdr:colOff>
                <xdr:row>3</xdr:row>
                <xdr:rowOff>333375</xdr:rowOff>
              </to>
            </anchor>
          </controlPr>
        </control>
      </mc:Choice>
      <mc:Fallback>
        <control shapeId="2130" r:id="rId7" name="TextBox2"/>
      </mc:Fallback>
    </mc:AlternateContent>
    <mc:AlternateContent xmlns:mc="http://schemas.openxmlformats.org/markup-compatibility/2006">
      <mc:Choice Requires="x14">
        <control shapeId="2129" r:id="rId8" name="TextBox1">
          <controlPr defaultSize="0" autoLine="0" linkedCell="F3" r:id="rId5">
            <anchor moveWithCells="1">
              <from>
                <xdr:col>5</xdr:col>
                <xdr:colOff>0</xdr:colOff>
                <xdr:row>2</xdr:row>
                <xdr:rowOff>123825</xdr:rowOff>
              </from>
              <to>
                <xdr:col>5</xdr:col>
                <xdr:colOff>1562100</xdr:colOff>
                <xdr:row>2</xdr:row>
                <xdr:rowOff>381000</xdr:rowOff>
              </to>
            </anchor>
          </controlPr>
        </control>
      </mc:Choice>
      <mc:Fallback>
        <control shapeId="2129" r:id="rId8" name="TextBox1"/>
      </mc:Fallback>
    </mc:AlternateContent>
    <mc:AlternateContent xmlns:mc="http://schemas.openxmlformats.org/markup-compatibility/2006">
      <mc:Choice Requires="x14">
        <control shapeId="2108" r:id="rId9" name="TextBox6">
          <controlPr defaultSize="0" autoLine="0" linkedCell="F8" r:id="rId5">
            <anchor moveWithCells="1">
              <from>
                <xdr:col>5</xdr:col>
                <xdr:colOff>0</xdr:colOff>
                <xdr:row>7</xdr:row>
                <xdr:rowOff>38100</xdr:rowOff>
              </from>
              <to>
                <xdr:col>5</xdr:col>
                <xdr:colOff>1562100</xdr:colOff>
                <xdr:row>8</xdr:row>
                <xdr:rowOff>9525</xdr:rowOff>
              </to>
            </anchor>
          </controlPr>
        </control>
      </mc:Choice>
      <mc:Fallback>
        <control shapeId="2108" r:id="rId9" name="TextBox6"/>
      </mc:Fallback>
    </mc:AlternateContent>
    <mc:AlternateContent xmlns:mc="http://schemas.openxmlformats.org/markup-compatibility/2006">
      <mc:Choice Requires="x14">
        <control shapeId="2098" r:id="rId10" name="TextBox12">
          <controlPr defaultSize="0" autoLine="0" linkedCell="D25" r:id="rId11">
            <anchor moveWithCells="1">
              <from>
                <xdr:col>2</xdr:col>
                <xdr:colOff>3543300</xdr:colOff>
                <xdr:row>24</xdr:row>
                <xdr:rowOff>9525</xdr:rowOff>
              </from>
              <to>
                <xdr:col>5</xdr:col>
                <xdr:colOff>1571625</xdr:colOff>
                <xdr:row>24</xdr:row>
                <xdr:rowOff>723900</xdr:rowOff>
              </to>
            </anchor>
          </controlPr>
        </control>
      </mc:Choice>
      <mc:Fallback>
        <control shapeId="2098" r:id="rId10" name="TextBox12"/>
      </mc:Fallback>
    </mc:AlternateContent>
    <mc:AlternateContent xmlns:mc="http://schemas.openxmlformats.org/markup-compatibility/2006">
      <mc:Choice Requires="x14">
        <control shapeId="2096" r:id="rId12" name="TextBox10">
          <controlPr defaultSize="0" autoLine="0" linkedCell="F17" r:id="rId5">
            <anchor moveWithCells="1">
              <from>
                <xdr:col>5</xdr:col>
                <xdr:colOff>9525</xdr:colOff>
                <xdr:row>16</xdr:row>
                <xdr:rowOff>19050</xdr:rowOff>
              </from>
              <to>
                <xdr:col>5</xdr:col>
                <xdr:colOff>1571625</xdr:colOff>
                <xdr:row>16</xdr:row>
                <xdr:rowOff>276225</xdr:rowOff>
              </to>
            </anchor>
          </controlPr>
        </control>
      </mc:Choice>
      <mc:Fallback>
        <control shapeId="2096" r:id="rId12" name="TextBox10"/>
      </mc:Fallback>
    </mc:AlternateContent>
    <mc:AlternateContent xmlns:mc="http://schemas.openxmlformats.org/markup-compatibility/2006">
      <mc:Choice Requires="x14">
        <control shapeId="2095" r:id="rId13" name="TextBox9">
          <controlPr defaultSize="0" autoLine="0" linkedCell="F22" r:id="rId5">
            <anchor moveWithCells="1">
              <from>
                <xdr:col>5</xdr:col>
                <xdr:colOff>0</xdr:colOff>
                <xdr:row>21</xdr:row>
                <xdr:rowOff>28575</xdr:rowOff>
              </from>
              <to>
                <xdr:col>5</xdr:col>
                <xdr:colOff>1562100</xdr:colOff>
                <xdr:row>21</xdr:row>
                <xdr:rowOff>285750</xdr:rowOff>
              </to>
            </anchor>
          </controlPr>
        </control>
      </mc:Choice>
      <mc:Fallback>
        <control shapeId="2095" r:id="rId13" name="TextBox9"/>
      </mc:Fallback>
    </mc:AlternateContent>
    <mc:AlternateContent xmlns:mc="http://schemas.openxmlformats.org/markup-compatibility/2006">
      <mc:Choice Requires="x14">
        <control shapeId="2094" r:id="rId14" name="TextBox8">
          <controlPr defaultSize="0" autoLine="0" linkedCell="F15" r:id="rId5">
            <anchor moveWithCells="1">
              <from>
                <xdr:col>5</xdr:col>
                <xdr:colOff>0</xdr:colOff>
                <xdr:row>14</xdr:row>
                <xdr:rowOff>19050</xdr:rowOff>
              </from>
              <to>
                <xdr:col>5</xdr:col>
                <xdr:colOff>1562100</xdr:colOff>
                <xdr:row>14</xdr:row>
                <xdr:rowOff>276225</xdr:rowOff>
              </to>
            </anchor>
          </controlPr>
        </control>
      </mc:Choice>
      <mc:Fallback>
        <control shapeId="2094" r:id="rId14" name="TextBox8"/>
      </mc:Fallback>
    </mc:AlternateContent>
    <mc:AlternateContent xmlns:mc="http://schemas.openxmlformats.org/markup-compatibility/2006">
      <mc:Choice Requires="x14">
        <control shapeId="2091" r:id="rId15" name="TextBox5">
          <controlPr defaultSize="0" autoLine="0" linkedCell="F12" r:id="rId5">
            <anchor moveWithCells="1">
              <from>
                <xdr:col>5</xdr:col>
                <xdr:colOff>0</xdr:colOff>
                <xdr:row>11</xdr:row>
                <xdr:rowOff>38100</xdr:rowOff>
              </from>
              <to>
                <xdr:col>5</xdr:col>
                <xdr:colOff>1562100</xdr:colOff>
                <xdr:row>12</xdr:row>
                <xdr:rowOff>9525</xdr:rowOff>
              </to>
            </anchor>
          </controlPr>
        </control>
      </mc:Choice>
      <mc:Fallback>
        <control shapeId="2091" r:id="rId15" name="TextBox5"/>
      </mc:Fallback>
    </mc:AlternateContent>
    <mc:AlternateContent xmlns:mc="http://schemas.openxmlformats.org/markup-compatibility/2006">
      <mc:Choice Requires="x14">
        <control shapeId="2090" r:id="rId16" name="TextBox4">
          <controlPr defaultSize="0" autoLine="0" linkedCell="F11" r:id="rId5">
            <anchor moveWithCells="1">
              <from>
                <xdr:col>5</xdr:col>
                <xdr:colOff>0</xdr:colOff>
                <xdr:row>10</xdr:row>
                <xdr:rowOff>38100</xdr:rowOff>
              </from>
              <to>
                <xdr:col>5</xdr:col>
                <xdr:colOff>1562100</xdr:colOff>
                <xdr:row>11</xdr:row>
                <xdr:rowOff>9525</xdr:rowOff>
              </to>
            </anchor>
          </controlPr>
        </control>
      </mc:Choice>
      <mc:Fallback>
        <control shapeId="2090" r:id="rId16" name="TextBox4"/>
      </mc:Fallback>
    </mc:AlternateContent>
    <mc:AlternateContent xmlns:mc="http://schemas.openxmlformats.org/markup-compatibility/2006">
      <mc:Choice Requires="x14">
        <control shapeId="2089" r:id="rId17" name="TextBox3">
          <controlPr defaultSize="0" autoLine="0" linkedCell="F9" r:id="rId5">
            <anchor moveWithCells="1">
              <from>
                <xdr:col>5</xdr:col>
                <xdr:colOff>0</xdr:colOff>
                <xdr:row>8</xdr:row>
                <xdr:rowOff>9525</xdr:rowOff>
              </from>
              <to>
                <xdr:col>5</xdr:col>
                <xdr:colOff>1562100</xdr:colOff>
                <xdr:row>8</xdr:row>
                <xdr:rowOff>266700</xdr:rowOff>
              </to>
            </anchor>
          </controlPr>
        </control>
      </mc:Choice>
      <mc:Fallback>
        <control shapeId="2089" r:id="rId17" name="TextBox3"/>
      </mc:Fallback>
    </mc:AlternateContent>
    <mc:AlternateContent xmlns:mc="http://schemas.openxmlformats.org/markup-compatibility/2006">
      <mc:Choice Requires="x14">
        <control shapeId="2099" r:id="rId18" name="TextBox13">
          <controlPr defaultSize="0" autoLine="0" linkedCell="D27" r:id="rId19">
            <anchor moveWithCells="1">
              <from>
                <xdr:col>2</xdr:col>
                <xdr:colOff>1057275</xdr:colOff>
                <xdr:row>26</xdr:row>
                <xdr:rowOff>47625</xdr:rowOff>
              </from>
              <to>
                <xdr:col>2</xdr:col>
                <xdr:colOff>2486025</xdr:colOff>
                <xdr:row>26</xdr:row>
                <xdr:rowOff>304800</xdr:rowOff>
              </to>
            </anchor>
          </controlPr>
        </control>
      </mc:Choice>
      <mc:Fallback>
        <control shapeId="2099" r:id="rId18" name="TextBox13"/>
      </mc:Fallback>
    </mc:AlternateContent>
    <mc:AlternateContent xmlns:mc="http://schemas.openxmlformats.org/markup-compatibility/2006">
      <mc:Choice Requires="x14">
        <control shapeId="2100" r:id="rId20" name="TextBox14">
          <controlPr defaultSize="0" autoLine="0" linkedCell="D30" r:id="rId21">
            <anchor moveWithCells="1">
              <from>
                <xdr:col>2</xdr:col>
                <xdr:colOff>1866900</xdr:colOff>
                <xdr:row>29</xdr:row>
                <xdr:rowOff>38100</xdr:rowOff>
              </from>
              <to>
                <xdr:col>5</xdr:col>
                <xdr:colOff>1562100</xdr:colOff>
                <xdr:row>29</xdr:row>
                <xdr:rowOff>295275</xdr:rowOff>
              </to>
            </anchor>
          </controlPr>
        </control>
      </mc:Choice>
      <mc:Fallback>
        <control shapeId="2100" r:id="rId20" name="TextBox14"/>
      </mc:Fallback>
    </mc:AlternateContent>
    <mc:AlternateContent xmlns:mc="http://schemas.openxmlformats.org/markup-compatibility/2006">
      <mc:Choice Requires="x14">
        <control shapeId="2101" r:id="rId22" name="TextBox15">
          <controlPr defaultSize="0" autoLine="0" linkedCell="D31" r:id="rId23">
            <anchor moveWithCells="1">
              <from>
                <xdr:col>2</xdr:col>
                <xdr:colOff>904875</xdr:colOff>
                <xdr:row>30</xdr:row>
                <xdr:rowOff>38100</xdr:rowOff>
              </from>
              <to>
                <xdr:col>5</xdr:col>
                <xdr:colOff>1562100</xdr:colOff>
                <xdr:row>30</xdr:row>
                <xdr:rowOff>295275</xdr:rowOff>
              </to>
            </anchor>
          </controlPr>
        </control>
      </mc:Choice>
      <mc:Fallback>
        <control shapeId="2101" r:id="rId22" name="TextBox15"/>
      </mc:Fallback>
    </mc:AlternateContent>
    <mc:AlternateContent xmlns:mc="http://schemas.openxmlformats.org/markup-compatibility/2006">
      <mc:Choice Requires="x14">
        <control shapeId="2102" r:id="rId24" name="TextBox16">
          <controlPr defaultSize="0" autoLine="0" linkedCell="D32" r:id="rId25">
            <anchor moveWithCells="1">
              <from>
                <xdr:col>2</xdr:col>
                <xdr:colOff>1219200</xdr:colOff>
                <xdr:row>31</xdr:row>
                <xdr:rowOff>38100</xdr:rowOff>
              </from>
              <to>
                <xdr:col>5</xdr:col>
                <xdr:colOff>1562100</xdr:colOff>
                <xdr:row>31</xdr:row>
                <xdr:rowOff>295275</xdr:rowOff>
              </to>
            </anchor>
          </controlPr>
        </control>
      </mc:Choice>
      <mc:Fallback>
        <control shapeId="2102" r:id="rId24" name="TextBox16"/>
      </mc:Fallback>
    </mc:AlternateContent>
    <mc:AlternateContent xmlns:mc="http://schemas.openxmlformats.org/markup-compatibility/2006">
      <mc:Choice Requires="x14">
        <control shapeId="2103" r:id="rId26" name="TextBox17">
          <controlPr defaultSize="0" autoLine="0" linkedCell="D33" r:id="rId25">
            <anchor moveWithCells="1">
              <from>
                <xdr:col>2</xdr:col>
                <xdr:colOff>1219200</xdr:colOff>
                <xdr:row>32</xdr:row>
                <xdr:rowOff>38100</xdr:rowOff>
              </from>
              <to>
                <xdr:col>5</xdr:col>
                <xdr:colOff>1562100</xdr:colOff>
                <xdr:row>32</xdr:row>
                <xdr:rowOff>295275</xdr:rowOff>
              </to>
            </anchor>
          </controlPr>
        </control>
      </mc:Choice>
      <mc:Fallback>
        <control shapeId="2103" r:id="rId26" name="TextBox17"/>
      </mc:Fallback>
    </mc:AlternateContent>
    <mc:AlternateContent xmlns:mc="http://schemas.openxmlformats.org/markup-compatibility/2006">
      <mc:Choice Requires="x14">
        <control shapeId="2107" r:id="rId27" name="TextBox18">
          <controlPr defaultSize="0" autoLine="0" linkedCell="F14" r:id="rId5">
            <anchor moveWithCells="1">
              <from>
                <xdr:col>5</xdr:col>
                <xdr:colOff>0</xdr:colOff>
                <xdr:row>13</xdr:row>
                <xdr:rowOff>38100</xdr:rowOff>
              </from>
              <to>
                <xdr:col>5</xdr:col>
                <xdr:colOff>1562100</xdr:colOff>
                <xdr:row>14</xdr:row>
                <xdr:rowOff>9525</xdr:rowOff>
              </to>
            </anchor>
          </controlPr>
        </control>
      </mc:Choice>
      <mc:Fallback>
        <control shapeId="2107" r:id="rId27" name="TextBox18"/>
      </mc:Fallback>
    </mc:AlternateContent>
    <mc:AlternateContent xmlns:mc="http://schemas.openxmlformats.org/markup-compatibility/2006">
      <mc:Choice Requires="x14">
        <control shapeId="2153" r:id="rId28" name="TextBox7">
          <controlPr defaultSize="0" autoLine="0" linkedCell="D24" r:id="rId29">
            <anchor moveWithCells="1">
              <from>
                <xdr:col>3</xdr:col>
                <xdr:colOff>0</xdr:colOff>
                <xdr:row>23</xdr:row>
                <xdr:rowOff>28575</xdr:rowOff>
              </from>
              <to>
                <xdr:col>5</xdr:col>
                <xdr:colOff>1571625</xdr:colOff>
                <xdr:row>23</xdr:row>
                <xdr:rowOff>1171575</xdr:rowOff>
              </to>
            </anchor>
          </controlPr>
        </control>
      </mc:Choice>
      <mc:Fallback>
        <control shapeId="2153" r:id="rId28" name="TextBox7"/>
      </mc:Fallback>
    </mc:AlternateContent>
    <mc:AlternateContent xmlns:mc="http://schemas.openxmlformats.org/markup-compatibility/2006">
      <mc:Choice Requires="x14">
        <control shapeId="2049" r:id="rId30" name="Drop Down 1">
          <controlPr defaultSize="0" autoLine="0" autoPict="0">
            <anchor moveWithCells="1">
              <from>
                <xdr:col>3</xdr:col>
                <xdr:colOff>9525</xdr:colOff>
                <xdr:row>2</xdr:row>
                <xdr:rowOff>104775</xdr:rowOff>
              </from>
              <to>
                <xdr:col>3</xdr:col>
                <xdr:colOff>3105150</xdr:colOff>
                <xdr:row>2</xdr:row>
                <xdr:rowOff>352425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50" r:id="rId31" name="Drop Down 2">
          <controlPr defaultSize="0" autoLine="0" autoPict="0">
            <anchor moveWithCells="1">
              <from>
                <xdr:col>3</xdr:col>
                <xdr:colOff>9525</xdr:colOff>
                <xdr:row>3</xdr:row>
                <xdr:rowOff>76200</xdr:rowOff>
              </from>
              <to>
                <xdr:col>3</xdr:col>
                <xdr:colOff>3105150</xdr:colOff>
                <xdr:row>3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51" r:id="rId32" name="Drop Down 3">
          <controlPr defaultSize="0" autoLine="0" autoPict="0">
            <anchor moveWithCells="1">
              <from>
                <xdr:col>3</xdr:col>
                <xdr:colOff>9525</xdr:colOff>
                <xdr:row>8</xdr:row>
                <xdr:rowOff>28575</xdr:rowOff>
              </from>
              <to>
                <xdr:col>3</xdr:col>
                <xdr:colOff>3105150</xdr:colOff>
                <xdr:row>8</xdr:row>
                <xdr:rowOff>276225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52" r:id="rId33" name="Drop Down 4">
          <controlPr defaultSize="0" autoLine="0" autoPict="0">
            <anchor moveWithCells="1">
              <from>
                <xdr:col>3</xdr:col>
                <xdr:colOff>9525</xdr:colOff>
                <xdr:row>7</xdr:row>
                <xdr:rowOff>47625</xdr:rowOff>
              </from>
              <to>
                <xdr:col>3</xdr:col>
                <xdr:colOff>3105150</xdr:colOff>
                <xdr:row>8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53" r:id="rId34" name="Drop Down 5">
          <controlPr defaultSize="0" autoLine="0" autoPict="0">
            <anchor moveWithCells="1">
              <from>
                <xdr:col>3</xdr:col>
                <xdr:colOff>9525</xdr:colOff>
                <xdr:row>9</xdr:row>
                <xdr:rowOff>28575</xdr:rowOff>
              </from>
              <to>
                <xdr:col>3</xdr:col>
                <xdr:colOff>3105150</xdr:colOff>
                <xdr:row>9</xdr:row>
                <xdr:rowOff>276225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54" r:id="rId35" name="Drop Down 6">
          <controlPr defaultSize="0" autoLine="0" autoPict="0">
            <anchor moveWithCells="1">
              <from>
                <xdr:col>3</xdr:col>
                <xdr:colOff>9525</xdr:colOff>
                <xdr:row>10</xdr:row>
                <xdr:rowOff>28575</xdr:rowOff>
              </from>
              <to>
                <xdr:col>3</xdr:col>
                <xdr:colOff>3105150</xdr:colOff>
                <xdr:row>10</xdr:row>
                <xdr:rowOff>276225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55" r:id="rId36" name="Drop Down 7">
          <controlPr defaultSize="0" autoLine="0" autoPict="0">
            <anchor moveWithCells="1">
              <from>
                <xdr:col>3</xdr:col>
                <xdr:colOff>9525</xdr:colOff>
                <xdr:row>11</xdr:row>
                <xdr:rowOff>38100</xdr:rowOff>
              </from>
              <to>
                <xdr:col>3</xdr:col>
                <xdr:colOff>3105150</xdr:colOff>
                <xdr:row>12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56" r:id="rId37" name="Drop Down 8">
          <controlPr defaultSize="0" autoLine="0" autoPict="0">
            <anchor moveWithCells="1">
              <from>
                <xdr:col>3</xdr:col>
                <xdr:colOff>9525</xdr:colOff>
                <xdr:row>13</xdr:row>
                <xdr:rowOff>47625</xdr:rowOff>
              </from>
              <to>
                <xdr:col>3</xdr:col>
                <xdr:colOff>3105150</xdr:colOff>
                <xdr:row>14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57" r:id="rId38" name="Drop Down 9">
          <controlPr defaultSize="0" autoLine="0" autoPict="0">
            <anchor moveWithCells="1">
              <from>
                <xdr:col>3</xdr:col>
                <xdr:colOff>9525</xdr:colOff>
                <xdr:row>15</xdr:row>
                <xdr:rowOff>47625</xdr:rowOff>
              </from>
              <to>
                <xdr:col>3</xdr:col>
                <xdr:colOff>3105150</xdr:colOff>
                <xdr:row>16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58" r:id="rId39" name="Drop Down 10">
          <controlPr defaultSize="0" autoLine="0" autoPict="0">
            <anchor moveWithCells="1">
              <from>
                <xdr:col>3</xdr:col>
                <xdr:colOff>9525</xdr:colOff>
                <xdr:row>16</xdr:row>
                <xdr:rowOff>38100</xdr:rowOff>
              </from>
              <to>
                <xdr:col>3</xdr:col>
                <xdr:colOff>3105150</xdr:colOff>
                <xdr:row>17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59" r:id="rId40" name="Drop Down 11">
          <controlPr defaultSize="0" autoLine="0" autoPict="0">
            <anchor moveWithCells="1">
              <from>
                <xdr:col>3</xdr:col>
                <xdr:colOff>9525</xdr:colOff>
                <xdr:row>17</xdr:row>
                <xdr:rowOff>28575</xdr:rowOff>
              </from>
              <to>
                <xdr:col>3</xdr:col>
                <xdr:colOff>3105150</xdr:colOff>
                <xdr:row>17</xdr:row>
                <xdr:rowOff>276225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60" r:id="rId41" name="Drop Down 12">
          <controlPr defaultSize="0" autoLine="0" autoPict="0">
            <anchor moveWithCells="1">
              <from>
                <xdr:col>3</xdr:col>
                <xdr:colOff>9525</xdr:colOff>
                <xdr:row>14</xdr:row>
                <xdr:rowOff>38100</xdr:rowOff>
              </from>
              <to>
                <xdr:col>3</xdr:col>
                <xdr:colOff>3105150</xdr:colOff>
                <xdr:row>15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62" r:id="rId42" name="Drop Down 14">
          <controlPr defaultSize="0" autoLine="0" autoPict="0">
            <anchor moveWithCells="1">
              <from>
                <xdr:col>3</xdr:col>
                <xdr:colOff>9525</xdr:colOff>
                <xdr:row>21</xdr:row>
                <xdr:rowOff>28575</xdr:rowOff>
              </from>
              <to>
                <xdr:col>3</xdr:col>
                <xdr:colOff>3105150</xdr:colOff>
                <xdr:row>21</xdr:row>
                <xdr:rowOff>276225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63" r:id="rId43" name="Drop Down 15">
          <controlPr defaultSize="0" autoLine="0" autoPict="0">
            <anchor moveWithCells="1">
              <from>
                <xdr:col>3</xdr:col>
                <xdr:colOff>9525</xdr:colOff>
                <xdr:row>19</xdr:row>
                <xdr:rowOff>47625</xdr:rowOff>
              </from>
              <to>
                <xdr:col>3</xdr:col>
                <xdr:colOff>3105150</xdr:colOff>
                <xdr:row>20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71" r:id="rId44" name="Drop Down 23">
          <controlPr defaultSize="0" autoLine="0" autoPict="0">
            <anchor moveWithCells="1">
              <from>
                <xdr:col>3</xdr:col>
                <xdr:colOff>9525</xdr:colOff>
                <xdr:row>5</xdr:row>
                <xdr:rowOff>57150</xdr:rowOff>
              </from>
              <to>
                <xdr:col>3</xdr:col>
                <xdr:colOff>3105150</xdr:colOff>
                <xdr:row>6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76" r:id="rId45" name="Drop Down 28">
          <controlPr defaultSize="0" autoLine="0" autoPict="0">
            <anchor moveWithCells="1">
              <from>
                <xdr:col>3</xdr:col>
                <xdr:colOff>9525</xdr:colOff>
                <xdr:row>12</xdr:row>
                <xdr:rowOff>38100</xdr:rowOff>
              </from>
              <to>
                <xdr:col>3</xdr:col>
                <xdr:colOff>3105150</xdr:colOff>
                <xdr:row>13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52" r:id="rId46" name="Drop Down 104">
          <controlPr defaultSize="0" autoLine="0" autoPict="0">
            <anchor moveWithCells="1">
              <from>
                <xdr:col>3</xdr:col>
                <xdr:colOff>9525</xdr:colOff>
                <xdr:row>22</xdr:row>
                <xdr:rowOff>28575</xdr:rowOff>
              </from>
              <to>
                <xdr:col>3</xdr:col>
                <xdr:colOff>3105150</xdr:colOff>
                <xdr:row>22</xdr:row>
                <xdr:rowOff>276225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84" r:id="rId47" name="Drop Down 136">
          <controlPr defaultSize="0" autoLine="0" autoPict="0">
            <anchor moveWithCells="1">
              <from>
                <xdr:col>3</xdr:col>
                <xdr:colOff>9525</xdr:colOff>
                <xdr:row>6</xdr:row>
                <xdr:rowOff>57150</xdr:rowOff>
              </from>
              <to>
                <xdr:col>3</xdr:col>
                <xdr:colOff>3105150</xdr:colOff>
                <xdr:row>7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88" r:id="rId48" name="Drop Down 140">
          <controlPr defaultSize="0" autoLine="0" autoPict="0">
            <anchor moveWithCells="1">
              <from>
                <xdr:col>3</xdr:col>
                <xdr:colOff>9525</xdr:colOff>
                <xdr:row>18</xdr:row>
                <xdr:rowOff>28575</xdr:rowOff>
              </from>
              <to>
                <xdr:col>3</xdr:col>
                <xdr:colOff>3105150</xdr:colOff>
                <xdr:row>18</xdr:row>
                <xdr:rowOff>276225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N192"/>
  <sheetViews>
    <sheetView topLeftCell="A23" zoomScaleNormal="100" workbookViewId="0">
      <selection activeCell="A159" sqref="A159"/>
    </sheetView>
  </sheetViews>
  <sheetFormatPr defaultRowHeight="15.75" x14ac:dyDescent="0.25"/>
  <cols>
    <col min="1" max="1" width="10.5703125" style="1" customWidth="1"/>
    <col min="2" max="2" width="25.7109375" style="1" customWidth="1"/>
    <col min="3" max="3" width="49.42578125" style="1" customWidth="1"/>
    <col min="4" max="4" width="29.5703125" style="1" customWidth="1"/>
    <col min="5" max="5" width="44" style="1" customWidth="1"/>
    <col min="6" max="6" width="36.5703125" style="1" customWidth="1"/>
    <col min="7" max="7" width="29.28515625" style="1" customWidth="1"/>
    <col min="8" max="8" width="44.140625" style="1" customWidth="1"/>
    <col min="9" max="9" width="48.7109375" style="1" customWidth="1"/>
    <col min="10" max="10" width="32" style="1" customWidth="1"/>
    <col min="11" max="11" width="47" style="1" customWidth="1"/>
    <col min="12" max="12" width="52" style="1" customWidth="1"/>
    <col min="13" max="13" width="35.42578125" style="1" customWidth="1"/>
    <col min="14" max="14" width="27.5703125" style="1" customWidth="1"/>
    <col min="15" max="16384" width="9.140625" style="1"/>
  </cols>
  <sheetData>
    <row r="1" spans="1:6" x14ac:dyDescent="0.25">
      <c r="A1" s="128" t="s">
        <v>35</v>
      </c>
      <c r="B1" s="128"/>
      <c r="C1" s="4" t="s">
        <v>39</v>
      </c>
      <c r="D1" s="5" t="s">
        <v>38</v>
      </c>
    </row>
    <row r="2" spans="1:6" x14ac:dyDescent="0.25">
      <c r="A2" s="4" t="s">
        <v>36</v>
      </c>
      <c r="B2" s="6" t="s">
        <v>37</v>
      </c>
      <c r="C2" s="4"/>
    </row>
    <row r="3" spans="1:6" x14ac:dyDescent="0.25">
      <c r="A3" s="4"/>
      <c r="B3" s="6"/>
      <c r="C3" s="4"/>
    </row>
    <row r="4" spans="1:6" x14ac:dyDescent="0.25">
      <c r="A4" s="118" t="s">
        <v>140</v>
      </c>
      <c r="B4" s="6"/>
      <c r="C4" s="4"/>
    </row>
    <row r="5" spans="1:6" x14ac:dyDescent="0.25">
      <c r="A5" s="101">
        <v>8</v>
      </c>
      <c r="B5" s="102">
        <f>INDEX(D6:D17,A5,1)</f>
        <v>16</v>
      </c>
      <c r="C5" s="9" t="str">
        <f>VLOOKUP(B5,Таблица1[#All],2,)</f>
        <v>16МПа</v>
      </c>
      <c r="D5" s="1" t="s">
        <v>52</v>
      </c>
      <c r="E5" s="1" t="s">
        <v>53</v>
      </c>
      <c r="F5" s="1" t="s">
        <v>40</v>
      </c>
    </row>
    <row r="6" spans="1:6" x14ac:dyDescent="0.25">
      <c r="B6" s="62"/>
      <c r="D6" s="14">
        <v>0.6</v>
      </c>
      <c r="E6" s="1" t="s">
        <v>57</v>
      </c>
    </row>
    <row r="7" spans="1:6" x14ac:dyDescent="0.25">
      <c r="B7" s="62"/>
      <c r="D7" s="14">
        <v>1</v>
      </c>
      <c r="E7" s="1" t="s">
        <v>58</v>
      </c>
    </row>
    <row r="8" spans="1:6" x14ac:dyDescent="0.25">
      <c r="B8" s="62"/>
      <c r="D8" s="14">
        <v>1.6</v>
      </c>
      <c r="E8" s="1" t="s">
        <v>59</v>
      </c>
    </row>
    <row r="9" spans="1:6" x14ac:dyDescent="0.25">
      <c r="B9" s="62"/>
      <c r="D9" s="14">
        <v>2.5</v>
      </c>
      <c r="E9" s="1" t="s">
        <v>60</v>
      </c>
    </row>
    <row r="10" spans="1:6" x14ac:dyDescent="0.25">
      <c r="B10" s="62"/>
      <c r="D10" s="14">
        <v>4</v>
      </c>
      <c r="E10" s="1" t="s">
        <v>61</v>
      </c>
    </row>
    <row r="11" spans="1:6" x14ac:dyDescent="0.25">
      <c r="B11" s="62"/>
      <c r="D11" s="14">
        <v>6</v>
      </c>
      <c r="E11" s="1" t="s">
        <v>62</v>
      </c>
    </row>
    <row r="12" spans="1:6" x14ac:dyDescent="0.25">
      <c r="B12" s="62"/>
      <c r="D12" s="14">
        <v>10</v>
      </c>
      <c r="E12" s="1" t="s">
        <v>63</v>
      </c>
    </row>
    <row r="13" spans="1:6" x14ac:dyDescent="0.25">
      <c r="B13" s="62"/>
      <c r="D13" s="14">
        <v>16</v>
      </c>
      <c r="E13" s="1" t="s">
        <v>64</v>
      </c>
    </row>
    <row r="14" spans="1:6" x14ac:dyDescent="0.25">
      <c r="B14" s="62"/>
      <c r="D14" s="14">
        <v>25</v>
      </c>
      <c r="E14" s="1" t="s">
        <v>65</v>
      </c>
    </row>
    <row r="15" spans="1:6" x14ac:dyDescent="0.25">
      <c r="B15" s="62"/>
      <c r="D15" s="14">
        <v>40</v>
      </c>
      <c r="E15" s="1" t="s">
        <v>66</v>
      </c>
    </row>
    <row r="16" spans="1:6" x14ac:dyDescent="0.25">
      <c r="B16" s="62"/>
      <c r="D16" s="14">
        <v>60</v>
      </c>
      <c r="E16" s="1" t="s">
        <v>67</v>
      </c>
    </row>
    <row r="17" spans="1:10" x14ac:dyDescent="0.25">
      <c r="B17" s="62"/>
      <c r="D17" s="1" t="s">
        <v>16</v>
      </c>
      <c r="E17" s="1" t="str">
        <f>'Опросный лист термоманометр'!F3&amp;"МПа"</f>
        <v>МПа</v>
      </c>
    </row>
    <row r="18" spans="1:10" x14ac:dyDescent="0.25">
      <c r="B18" s="62"/>
    </row>
    <row r="19" spans="1:10" x14ac:dyDescent="0.25">
      <c r="A19" s="118" t="s">
        <v>141</v>
      </c>
      <c r="B19" s="62"/>
    </row>
    <row r="20" spans="1:10" x14ac:dyDescent="0.25">
      <c r="A20" s="9">
        <v>2</v>
      </c>
      <c r="B20" s="94">
        <f>INDEX(D21:D26,A20,1)</f>
        <v>0.25</v>
      </c>
      <c r="C20" s="9" t="str">
        <f>VLOOKUP(B20,Таблица2[#All],2,)</f>
        <v>, 0.25%</v>
      </c>
      <c r="D20" s="1" t="s">
        <v>52</v>
      </c>
      <c r="E20" s="1" t="s">
        <v>53</v>
      </c>
    </row>
    <row r="21" spans="1:10" x14ac:dyDescent="0.25">
      <c r="B21" s="63"/>
      <c r="D21" s="64">
        <v>0.15</v>
      </c>
      <c r="E21" s="65" t="s">
        <v>68</v>
      </c>
    </row>
    <row r="22" spans="1:10" x14ac:dyDescent="0.25">
      <c r="B22" s="63"/>
      <c r="D22" s="64">
        <v>0.25</v>
      </c>
      <c r="E22" s="65" t="s">
        <v>69</v>
      </c>
    </row>
    <row r="23" spans="1:10" x14ac:dyDescent="0.25">
      <c r="B23" s="63"/>
      <c r="D23" s="64">
        <v>0.5</v>
      </c>
      <c r="E23" s="65" t="s">
        <v>70</v>
      </c>
    </row>
    <row r="24" spans="1:10" x14ac:dyDescent="0.25">
      <c r="B24" s="63"/>
      <c r="D24" s="64">
        <v>1</v>
      </c>
      <c r="E24" s="65" t="s">
        <v>71</v>
      </c>
    </row>
    <row r="25" spans="1:10" x14ac:dyDescent="0.25">
      <c r="B25" s="63"/>
      <c r="D25" s="64">
        <v>1.5</v>
      </c>
      <c r="E25" s="65" t="s">
        <v>72</v>
      </c>
    </row>
    <row r="26" spans="1:10" x14ac:dyDescent="0.25">
      <c r="B26" s="62"/>
      <c r="D26" s="14" t="s">
        <v>16</v>
      </c>
      <c r="E26" s="1" t="str">
        <f>", "&amp;'Опросный лист термоманометр'!F4&amp;"%"</f>
        <v>, %</v>
      </c>
    </row>
    <row r="27" spans="1:10" x14ac:dyDescent="0.25">
      <c r="B27" s="62"/>
      <c r="D27" s="14"/>
    </row>
    <row r="28" spans="1:10" x14ac:dyDescent="0.25">
      <c r="A28" s="118" t="s">
        <v>83</v>
      </c>
      <c r="B28" s="62"/>
      <c r="D28" s="14"/>
    </row>
    <row r="29" spans="1:10" x14ac:dyDescent="0.25">
      <c r="A29" s="9">
        <v>1</v>
      </c>
      <c r="B29" s="103" t="str">
        <f>INDEX(D30:D32,A29,1)</f>
        <v>выносной</v>
      </c>
      <c r="C29" s="9" t="str">
        <f>B29</f>
        <v>выносной</v>
      </c>
      <c r="D29" s="1" t="s">
        <v>52</v>
      </c>
    </row>
    <row r="30" spans="1:10" x14ac:dyDescent="0.25">
      <c r="B30" s="66"/>
      <c r="D30" s="67" t="s">
        <v>85</v>
      </c>
      <c r="E30" s="68"/>
      <c r="F30" s="69"/>
      <c r="G30" s="69"/>
      <c r="H30" s="69"/>
      <c r="I30" s="69"/>
      <c r="J30" s="69"/>
    </row>
    <row r="31" spans="1:10" x14ac:dyDescent="0.25">
      <c r="B31" s="66"/>
      <c r="C31" s="14"/>
      <c r="D31" s="67" t="s">
        <v>119</v>
      </c>
      <c r="E31" s="68"/>
      <c r="F31" s="69"/>
      <c r="G31" s="69"/>
      <c r="H31" s="69"/>
      <c r="I31" s="69"/>
      <c r="J31" s="69"/>
    </row>
    <row r="32" spans="1:10" x14ac:dyDescent="0.25">
      <c r="B32" s="66"/>
      <c r="D32" s="67" t="s">
        <v>84</v>
      </c>
      <c r="E32" s="68"/>
      <c r="F32" s="69"/>
      <c r="G32" s="69"/>
      <c r="H32" s="69"/>
      <c r="I32" s="69"/>
      <c r="J32" s="69"/>
    </row>
    <row r="33" spans="1:12" x14ac:dyDescent="0.25">
      <c r="B33" s="66"/>
      <c r="D33" s="67"/>
      <c r="E33" s="68"/>
      <c r="F33" s="69"/>
      <c r="G33" s="69"/>
      <c r="H33" s="69"/>
      <c r="I33" s="69"/>
      <c r="J33" s="69"/>
    </row>
    <row r="34" spans="1:12" x14ac:dyDescent="0.25">
      <c r="A34" s="118" t="s">
        <v>118</v>
      </c>
      <c r="B34" s="66"/>
      <c r="D34" s="67"/>
      <c r="E34" s="68"/>
      <c r="F34" s="69"/>
      <c r="G34" s="69"/>
      <c r="H34" s="69"/>
      <c r="I34" s="69"/>
      <c r="J34" s="69"/>
    </row>
    <row r="35" spans="1:12" x14ac:dyDescent="0.25">
      <c r="A35" s="9">
        <v>1</v>
      </c>
      <c r="B35" s="104" t="str">
        <f ca="1">INDEX(Таблица7[Столбец1],A35,1)</f>
        <v>для ввинчивания в термокарман</v>
      </c>
      <c r="C35" s="108" t="str">
        <f ca="1">VLOOKUP(B35,Таблица7[],2,)</f>
        <v>, ТЩ</v>
      </c>
      <c r="D35" s="1" t="s">
        <v>52</v>
      </c>
      <c r="E35" s="1" t="s">
        <v>53</v>
      </c>
      <c r="F35" s="69" t="s">
        <v>85</v>
      </c>
      <c r="G35" s="69" t="s">
        <v>86</v>
      </c>
      <c r="H35" s="69" t="s">
        <v>84</v>
      </c>
      <c r="J35" s="69" t="s">
        <v>85</v>
      </c>
      <c r="K35" s="69" t="s">
        <v>86</v>
      </c>
      <c r="L35" s="69" t="s">
        <v>84</v>
      </c>
    </row>
    <row r="36" spans="1:12" ht="16.5" customHeight="1" x14ac:dyDescent="0.25">
      <c r="A36" s="59"/>
      <c r="B36" s="70"/>
      <c r="C36" s="15"/>
      <c r="D36" s="107" t="str">
        <f ca="1">OFFSET(F36,0,A29-1)</f>
        <v>для ввинчивания в термокарман</v>
      </c>
      <c r="E36" s="2" t="str">
        <f ca="1">OFFSET(J36,0,$A$29-1)</f>
        <v>, ТЩ</v>
      </c>
      <c r="F36" s="54" t="s">
        <v>120</v>
      </c>
      <c r="G36" s="109" t="s">
        <v>120</v>
      </c>
      <c r="H36" s="55" t="s">
        <v>40</v>
      </c>
      <c r="J36" s="55" t="s">
        <v>127</v>
      </c>
      <c r="K36" s="55" t="s">
        <v>138</v>
      </c>
      <c r="L36" s="55" t="s">
        <v>40</v>
      </c>
    </row>
    <row r="37" spans="1:12" ht="16.5" customHeight="1" x14ac:dyDescent="0.25">
      <c r="A37" s="59"/>
      <c r="B37" s="70"/>
      <c r="D37" s="2" t="str">
        <f ca="1">OFFSET(F37,0,A29-1)</f>
        <v>накладной с лыской</v>
      </c>
      <c r="E37" s="2" t="str">
        <f t="shared" ref="E37:E40" ca="1" si="0">OFFSET(J37,0,$A$29-1)</f>
        <v>, ТЩ4</v>
      </c>
      <c r="F37" s="54" t="s">
        <v>132</v>
      </c>
      <c r="G37" s="55" t="s">
        <v>40</v>
      </c>
      <c r="H37" s="55" t="s">
        <v>40</v>
      </c>
      <c r="J37" s="54" t="s">
        <v>124</v>
      </c>
      <c r="K37" s="55" t="s">
        <v>40</v>
      </c>
      <c r="L37" s="55" t="s">
        <v>40</v>
      </c>
    </row>
    <row r="38" spans="1:12" ht="16.5" customHeight="1" x14ac:dyDescent="0.25">
      <c r="A38" s="59"/>
      <c r="B38" s="70"/>
      <c r="D38" s="57" t="str">
        <f ca="1">OFFSET(F38,0,A29-1)</f>
        <v>накладной под винт</v>
      </c>
      <c r="E38" s="2" t="str">
        <f t="shared" ca="1" si="0"/>
        <v>, ТЩ5</v>
      </c>
      <c r="F38" s="54" t="s">
        <v>122</v>
      </c>
      <c r="G38" s="55" t="s">
        <v>40</v>
      </c>
      <c r="H38" s="55" t="s">
        <v>40</v>
      </c>
      <c r="J38" s="54" t="s">
        <v>125</v>
      </c>
      <c r="K38" s="55" t="s">
        <v>40</v>
      </c>
      <c r="L38" s="55" t="s">
        <v>40</v>
      </c>
    </row>
    <row r="39" spans="1:12" ht="16.5" customHeight="1" x14ac:dyDescent="0.25">
      <c r="B39" s="70"/>
      <c r="D39" s="57" t="str">
        <f ca="1">OFFSET(F39,0,A29-1)</f>
        <v>накладной под торцевое крепление</v>
      </c>
      <c r="E39" s="2" t="str">
        <f t="shared" ca="1" si="0"/>
        <v>, ТЩ6</v>
      </c>
      <c r="F39" s="56" t="s">
        <v>123</v>
      </c>
      <c r="G39" s="55" t="s">
        <v>40</v>
      </c>
      <c r="H39" s="55" t="s">
        <v>40</v>
      </c>
      <c r="J39" s="54" t="s">
        <v>126</v>
      </c>
      <c r="K39" s="55" t="s">
        <v>40</v>
      </c>
      <c r="L39" s="55" t="s">
        <v>40</v>
      </c>
    </row>
    <row r="40" spans="1:12" ht="16.5" customHeight="1" x14ac:dyDescent="0.25">
      <c r="A40" s="59"/>
      <c r="B40" s="70"/>
      <c r="D40" s="57" t="str">
        <f ca="1">OFFSET(F40,0,A29-1)</f>
        <v>другое</v>
      </c>
      <c r="E40" s="2" t="str">
        <f t="shared" ca="1" si="0"/>
        <v>, ТЩX</v>
      </c>
      <c r="F40" s="54" t="s">
        <v>129</v>
      </c>
      <c r="G40" s="55" t="s">
        <v>40</v>
      </c>
      <c r="H40" s="55" t="s">
        <v>40</v>
      </c>
      <c r="J40" s="54" t="s">
        <v>128</v>
      </c>
      <c r="K40" s="71" t="s">
        <v>40</v>
      </c>
      <c r="L40" s="71" t="s">
        <v>40</v>
      </c>
    </row>
    <row r="41" spans="1:12" x14ac:dyDescent="0.25">
      <c r="B41" s="62"/>
      <c r="D41" s="14"/>
    </row>
    <row r="42" spans="1:12" x14ac:dyDescent="0.25">
      <c r="A42" s="118" t="s">
        <v>87</v>
      </c>
      <c r="B42" s="62"/>
      <c r="D42" s="14"/>
    </row>
    <row r="43" spans="1:12" ht="17.25" customHeight="1" x14ac:dyDescent="0.25">
      <c r="A43" s="9">
        <v>1</v>
      </c>
      <c r="B43" s="103" t="str">
        <f ca="1">INDEX(D44:D48,A43,1)</f>
        <v>штуцер подвижный</v>
      </c>
      <c r="C43" s="9" t="str">
        <f ca="1">IF(B43="","","Способ крепления термощупа: "&amp;IF(B43="другой",'Опросный лист термоманометр'!$F$8,B43))</f>
        <v>Способ крепления термощупа: штуцер подвижный</v>
      </c>
      <c r="D43" s="59" t="s">
        <v>52</v>
      </c>
      <c r="E43" s="59"/>
      <c r="F43" s="52"/>
      <c r="G43" s="58"/>
      <c r="H43" s="52"/>
      <c r="I43" s="53"/>
      <c r="J43" s="52"/>
    </row>
    <row r="44" spans="1:12" x14ac:dyDescent="0.25">
      <c r="A44" s="59"/>
      <c r="B44" s="70"/>
      <c r="D44" s="59" t="str">
        <f ca="1">IF(AND(A29=1,B35="для ввинчивания в термокарман"),"штуцер подвижный","")</f>
        <v>штуцер подвижный</v>
      </c>
      <c r="E44" s="59"/>
      <c r="F44" s="69"/>
      <c r="G44" s="92"/>
      <c r="H44" s="92"/>
      <c r="I44" s="92"/>
      <c r="J44" s="92"/>
    </row>
    <row r="45" spans="1:12" x14ac:dyDescent="0.25">
      <c r="A45" s="59"/>
      <c r="B45" s="70"/>
      <c r="D45" s="59" t="str">
        <f ca="1">IF(AND(A29=1,B35="для ввинчивания в термокарман"),"штуцер приварной","")</f>
        <v>штуцер приварной</v>
      </c>
      <c r="E45" s="59"/>
      <c r="F45" s="69"/>
      <c r="G45" s="92"/>
      <c r="H45" s="92"/>
      <c r="I45" s="92"/>
      <c r="J45" s="92"/>
    </row>
    <row r="46" spans="1:12" x14ac:dyDescent="0.25">
      <c r="A46" s="59"/>
      <c r="B46" s="70"/>
      <c r="D46" s="59" t="str">
        <f ca="1">IF(AND(A29=1,B35="для ввинчивания в термокарман"),"штуцер подпружиненный","")</f>
        <v>штуцер подпружиненный</v>
      </c>
      <c r="E46" s="59"/>
      <c r="F46" s="69"/>
      <c r="G46" s="92"/>
      <c r="H46" s="92"/>
      <c r="I46" s="92"/>
      <c r="J46" s="92"/>
    </row>
    <row r="47" spans="1:12" x14ac:dyDescent="0.25">
      <c r="A47" s="59"/>
      <c r="B47" s="70"/>
      <c r="D47" s="59" t="str">
        <f ca="1">IF(AND(A29=1,B35="для ввинчивания в термокарман"),"фланец","")</f>
        <v>фланец</v>
      </c>
      <c r="E47" s="59"/>
      <c r="F47" s="69"/>
      <c r="G47" s="92"/>
      <c r="H47" s="92"/>
      <c r="I47" s="92"/>
      <c r="J47" s="92"/>
    </row>
    <row r="48" spans="1:12" x14ac:dyDescent="0.25">
      <c r="A48" s="59"/>
      <c r="B48" s="70"/>
      <c r="D48" s="59" t="str">
        <f ca="1">IF(AND(A29=1,B35="для ввинчивания в термокарман"),"другой","")</f>
        <v>другой</v>
      </c>
      <c r="E48" s="59"/>
      <c r="F48" s="69"/>
      <c r="G48" s="92"/>
      <c r="H48" s="92"/>
      <c r="I48" s="92"/>
      <c r="J48" s="92"/>
    </row>
    <row r="49" spans="1:14" x14ac:dyDescent="0.25">
      <c r="B49" s="62"/>
      <c r="D49" s="14"/>
    </row>
    <row r="50" spans="1:14" x14ac:dyDescent="0.25">
      <c r="A50" s="118" t="s">
        <v>142</v>
      </c>
      <c r="B50" s="62"/>
      <c r="D50" s="14"/>
    </row>
    <row r="51" spans="1:14" ht="15.75" customHeight="1" x14ac:dyDescent="0.25">
      <c r="A51" s="105">
        <v>1</v>
      </c>
      <c r="B51" s="94" t="str">
        <f>INDEX(Таблица17[Столбец1],A51,1)</f>
        <v>-40..+85</v>
      </c>
      <c r="C51" s="9" t="str">
        <f>VLOOKUP(B51,Таблица17[#All],2,)</f>
        <v>, -40..+85C</v>
      </c>
      <c r="D51" s="1" t="s">
        <v>52</v>
      </c>
      <c r="E51" s="1" t="s">
        <v>53</v>
      </c>
      <c r="G51" s="59"/>
      <c r="H51" s="1" t="s">
        <v>86</v>
      </c>
      <c r="I51" s="1" t="s">
        <v>133</v>
      </c>
      <c r="J51" s="1" t="s">
        <v>137</v>
      </c>
      <c r="K51" s="1" t="s">
        <v>135</v>
      </c>
      <c r="L51" s="1" t="s">
        <v>136</v>
      </c>
      <c r="M51" s="1" t="s">
        <v>134</v>
      </c>
      <c r="N51" s="1" t="s">
        <v>84</v>
      </c>
    </row>
    <row r="52" spans="1:14" x14ac:dyDescent="0.25">
      <c r="A52" s="59"/>
      <c r="B52" s="70"/>
      <c r="D52" s="97" t="str">
        <f>HLOOKUP($F$52,Таблица24[#All],2)</f>
        <v>-40..+85</v>
      </c>
      <c r="E52" s="1" t="str">
        <f>", "&amp;Таблица17[[#This Row],[Столбец1]]&amp;"C"</f>
        <v>, -40..+85C</v>
      </c>
      <c r="F52" s="9" t="str">
        <f>G52&amp;G53&amp;G54&amp;G55&amp;G56&amp;G57&amp;G58</f>
        <v>выносной для ввинчивания в термокарман</v>
      </c>
      <c r="G52" s="106" t="str">
        <f>IF(AND(A29=1,A35=1),"выносной для ввинчивания в термокарман","")</f>
        <v>выносной для ввинчивания в термокарман</v>
      </c>
      <c r="H52" s="1" t="s">
        <v>78</v>
      </c>
      <c r="I52" s="1" t="s">
        <v>78</v>
      </c>
      <c r="J52" s="1" t="s">
        <v>78</v>
      </c>
      <c r="K52" s="1" t="s">
        <v>78</v>
      </c>
      <c r="L52" s="1" t="s">
        <v>78</v>
      </c>
      <c r="M52" s="1" t="s">
        <v>78</v>
      </c>
      <c r="N52" s="1" t="s">
        <v>78</v>
      </c>
    </row>
    <row r="53" spans="1:14" x14ac:dyDescent="0.25">
      <c r="D53" s="97" t="str">
        <f>HLOOKUP($F$52,Таблица24[#All],3)</f>
        <v>-40..+125</v>
      </c>
      <c r="E53" s="1" t="str">
        <f>", "&amp;Таблица17[[#This Row],[Столбец1]]&amp;"C"</f>
        <v>, -40..+125C</v>
      </c>
      <c r="G53" s="106" t="str">
        <f>IF(AND(A29=1,A35=2),"выносной накладной с лыской","")</f>
        <v/>
      </c>
      <c r="H53" s="1" t="s">
        <v>40</v>
      </c>
      <c r="I53" s="1" t="s">
        <v>79</v>
      </c>
      <c r="J53" s="1" t="s">
        <v>79</v>
      </c>
      <c r="K53" s="1" t="s">
        <v>79</v>
      </c>
      <c r="L53" s="1" t="s">
        <v>79</v>
      </c>
      <c r="M53" s="1" t="s">
        <v>79</v>
      </c>
      <c r="N53" s="1" t="s">
        <v>40</v>
      </c>
    </row>
    <row r="54" spans="1:14" x14ac:dyDescent="0.25">
      <c r="D54" s="97" t="str">
        <f>HLOOKUP($F$52,Таблица24[#All],4)</f>
        <v>-40..+250</v>
      </c>
      <c r="E54" s="1" t="str">
        <f>", "&amp;Таблица17[[#This Row],[Столбец1]]&amp;"C"</f>
        <v>, -40..+250C</v>
      </c>
      <c r="G54" s="106" t="str">
        <f>IF(AND(A29=1,A35=3),"выносной накладной под винт","")</f>
        <v/>
      </c>
      <c r="H54" s="1" t="s">
        <v>40</v>
      </c>
      <c r="I54" s="1" t="s">
        <v>80</v>
      </c>
      <c r="J54" s="1" t="s">
        <v>80</v>
      </c>
      <c r="K54" s="1" t="s">
        <v>16</v>
      </c>
      <c r="L54" s="1" t="s">
        <v>80</v>
      </c>
      <c r="M54" s="1" t="s">
        <v>80</v>
      </c>
      <c r="N54" s="1" t="s">
        <v>40</v>
      </c>
    </row>
    <row r="55" spans="1:14" x14ac:dyDescent="0.25">
      <c r="D55" s="97" t="str">
        <f>HLOOKUP($F$52,Таблица24[#All],5)</f>
        <v>-40..+300</v>
      </c>
      <c r="E55" s="1" t="str">
        <f>", "&amp;Таблица17[[#This Row],[Столбец1]]&amp;"C"</f>
        <v>, -40..+300C</v>
      </c>
      <c r="G55" s="106" t="str">
        <f>IF(AND(A29=1,A35=4),"выносной накладной под торцевое крепление","")</f>
        <v/>
      </c>
      <c r="H55" s="1" t="s">
        <v>40</v>
      </c>
      <c r="I55" s="1" t="s">
        <v>81</v>
      </c>
      <c r="J55" s="1" t="s">
        <v>81</v>
      </c>
      <c r="K55" s="1" t="s">
        <v>40</v>
      </c>
      <c r="L55" s="1" t="s">
        <v>16</v>
      </c>
      <c r="M55" s="1" t="s">
        <v>16</v>
      </c>
      <c r="N55" s="1" t="s">
        <v>40</v>
      </c>
    </row>
    <row r="56" spans="1:14" x14ac:dyDescent="0.25">
      <c r="D56" s="97" t="str">
        <f>HLOOKUP($F$52,Таблица24[#All],6)</f>
        <v>другой</v>
      </c>
      <c r="E56" s="1" t="str">
        <f>", "&amp;'Опросный лист термоманометр'!F9&amp;"C"</f>
        <v>, C</v>
      </c>
      <c r="G56" s="106" t="str">
        <f>IF(AND(A29=1,A35=5),"выносной другой","")</f>
        <v/>
      </c>
      <c r="H56" s="1" t="s">
        <v>40</v>
      </c>
      <c r="I56" s="1" t="s">
        <v>16</v>
      </c>
      <c r="J56" s="1" t="s">
        <v>16</v>
      </c>
      <c r="K56" s="1" t="s">
        <v>40</v>
      </c>
      <c r="L56" s="1" t="s">
        <v>40</v>
      </c>
      <c r="M56" s="1" t="s">
        <v>40</v>
      </c>
      <c r="N56" s="1" t="s">
        <v>40</v>
      </c>
    </row>
    <row r="57" spans="1:14" x14ac:dyDescent="0.25">
      <c r="G57" s="106" t="str">
        <f>IF(A29=2,"встроенный","")</f>
        <v/>
      </c>
    </row>
    <row r="58" spans="1:14" x14ac:dyDescent="0.25">
      <c r="G58" s="106" t="str">
        <f>IF(A29=3,"отсутствует","")</f>
        <v/>
      </c>
    </row>
    <row r="60" spans="1:14" x14ac:dyDescent="0.25">
      <c r="A60" s="118" t="s">
        <v>143</v>
      </c>
    </row>
    <row r="61" spans="1:14" x14ac:dyDescent="0.25">
      <c r="A61" s="9">
        <v>2</v>
      </c>
      <c r="B61" s="94" t="str">
        <f>INDEX(Таблица4[Столбец1],A61,1)</f>
        <v>1</v>
      </c>
      <c r="C61" s="9" t="str">
        <f>VLOOKUP(B61,Таблица4[#All],2,)</f>
        <v>, 1C</v>
      </c>
      <c r="D61" s="1" t="s">
        <v>52</v>
      </c>
      <c r="E61" s="1" t="s">
        <v>53</v>
      </c>
      <c r="H61" s="69" t="s">
        <v>86</v>
      </c>
      <c r="I61" s="69" t="s">
        <v>133</v>
      </c>
      <c r="J61" s="69" t="s">
        <v>137</v>
      </c>
      <c r="K61" s="69" t="s">
        <v>135</v>
      </c>
      <c r="L61" s="69" t="s">
        <v>136</v>
      </c>
      <c r="M61" s="1" t="s">
        <v>134</v>
      </c>
      <c r="N61" s="1" t="s">
        <v>84</v>
      </c>
    </row>
    <row r="62" spans="1:14" x14ac:dyDescent="0.25">
      <c r="B62" s="62"/>
      <c r="D62" s="14" t="str">
        <f>HLOOKUP($F$52,Таблица25[#All],2)</f>
        <v>0.5</v>
      </c>
      <c r="E62" s="1" t="str">
        <f t="shared" ref="E62:E64" si="1">IF(D62="","",", "&amp;D62&amp;"C")</f>
        <v>, 0.5C</v>
      </c>
      <c r="H62" s="98">
        <v>0.5</v>
      </c>
      <c r="I62" s="98" t="str">
        <f>IF(OR(B51="-40..+250",B51="-40..+300"),"1","0.5")</f>
        <v>0.5</v>
      </c>
      <c r="J62" s="99" t="str">
        <f>IF(OR(B51="-40..+250",B51="-40..+300"),"1","0.5")</f>
        <v>0.5</v>
      </c>
      <c r="K62" s="99">
        <v>1</v>
      </c>
      <c r="L62" s="99">
        <v>1</v>
      </c>
      <c r="M62" s="99">
        <v>1</v>
      </c>
      <c r="N62" s="98">
        <v>0.5</v>
      </c>
    </row>
    <row r="63" spans="1:14" x14ac:dyDescent="0.25">
      <c r="B63" s="62"/>
      <c r="D63" s="14" t="str">
        <f>HLOOKUP($F$52,Таблица25[#All],3)</f>
        <v>1</v>
      </c>
      <c r="E63" s="1" t="str">
        <f t="shared" si="1"/>
        <v>, 1C</v>
      </c>
      <c r="H63" s="99">
        <v>1</v>
      </c>
      <c r="I63" s="99" t="str">
        <f>IF(OR(B51="-40..+250",B51="-40..+300"),"2","1")</f>
        <v>1</v>
      </c>
      <c r="J63" s="99" t="str">
        <f>IF(OR(B51="-40..+250",B51="-40..+300"),"2","1")</f>
        <v>1</v>
      </c>
      <c r="K63" s="99">
        <v>2</v>
      </c>
      <c r="L63" s="99">
        <v>2</v>
      </c>
      <c r="M63" s="99">
        <v>2</v>
      </c>
      <c r="N63" s="99">
        <v>1</v>
      </c>
    </row>
    <row r="64" spans="1:14" x14ac:dyDescent="0.25">
      <c r="B64" s="62"/>
      <c r="D64" s="14" t="str">
        <f>HLOOKUP($F$52,Таблица25[#All],4)</f>
        <v>2</v>
      </c>
      <c r="E64" s="1" t="str">
        <f t="shared" si="1"/>
        <v>, 2C</v>
      </c>
      <c r="H64" s="100">
        <v>2</v>
      </c>
      <c r="I64" s="100" t="str">
        <f>IF(OR(B51="-40..+250",B51="-40..+300"),"","2")</f>
        <v>2</v>
      </c>
      <c r="J64" s="96" t="str">
        <f>IF(OR(B51="-40..+250",B51="-40..+300"),"","2")</f>
        <v>2</v>
      </c>
      <c r="K64" s="96" t="s">
        <v>40</v>
      </c>
      <c r="L64" s="96" t="s">
        <v>40</v>
      </c>
      <c r="M64" s="96" t="s">
        <v>40</v>
      </c>
      <c r="N64" s="100">
        <v>2</v>
      </c>
    </row>
    <row r="65" spans="1:14" x14ac:dyDescent="0.25">
      <c r="B65" s="62"/>
      <c r="G65"/>
    </row>
    <row r="66" spans="1:14" x14ac:dyDescent="0.25">
      <c r="A66" s="118" t="s">
        <v>144</v>
      </c>
      <c r="B66" s="62"/>
      <c r="G66"/>
    </row>
    <row r="67" spans="1:14" x14ac:dyDescent="0.25">
      <c r="A67" s="9">
        <v>1</v>
      </c>
      <c r="B67" s="9" t="str">
        <f>INDEX(Таблица26[Столбец1],A67,1)</f>
        <v>бескорпусной с выводами</v>
      </c>
      <c r="C67" s="9" t="str">
        <f ca="1">C35&amp;VLOOKUP(B67,Таблица26[],2,)</f>
        <v>, ТЩ3-</v>
      </c>
      <c r="D67" s="1" t="s">
        <v>52</v>
      </c>
      <c r="E67" s="1" t="s">
        <v>53</v>
      </c>
      <c r="G67"/>
    </row>
    <row r="68" spans="1:14" x14ac:dyDescent="0.25">
      <c r="D68" s="1" t="str">
        <f>IF(AND(A29=1,A35=1,A51&lt;4),"бескорпусной с выводами","")</f>
        <v>бескорпусной с выводами</v>
      </c>
      <c r="E68" s="1" t="str">
        <f>IF(AND(A29=1,A35=1,A51&lt;4),"3-","")</f>
        <v>3-</v>
      </c>
      <c r="G68"/>
    </row>
    <row r="69" spans="1:14" x14ac:dyDescent="0.25">
      <c r="D69" s="1" t="str">
        <f>IF(AND(A29=1,A35=1),"коммутационная (клеммная) головка","")</f>
        <v>коммутационная (клеммная) головка</v>
      </c>
      <c r="E69" s="1" t="str">
        <f>IF(AND(A29=1,A35=1),"2-","")</f>
        <v>2-</v>
      </c>
      <c r="G69"/>
    </row>
    <row r="71" spans="1:14" x14ac:dyDescent="0.25">
      <c r="A71" s="118" t="s">
        <v>145</v>
      </c>
    </row>
    <row r="72" spans="1:14" x14ac:dyDescent="0.25">
      <c r="A72" s="1">
        <v>1</v>
      </c>
      <c r="B72" s="62">
        <f>INDEX(D73:D76,A72,1)</f>
        <v>46</v>
      </c>
      <c r="C72" s="9" t="str">
        <f>VLOOKUP(B72,Таблица66[#All],2,)</f>
        <v>46мм-</v>
      </c>
      <c r="D72" s="1" t="s">
        <v>52</v>
      </c>
      <c r="E72" s="1" t="s">
        <v>53</v>
      </c>
      <c r="H72" s="69" t="s">
        <v>86</v>
      </c>
      <c r="I72" s="69" t="s">
        <v>133</v>
      </c>
      <c r="J72" s="69" t="s">
        <v>137</v>
      </c>
      <c r="K72" s="69" t="s">
        <v>135</v>
      </c>
      <c r="L72" s="69" t="s">
        <v>136</v>
      </c>
      <c r="M72" s="1" t="s">
        <v>134</v>
      </c>
      <c r="N72" s="1" t="s">
        <v>84</v>
      </c>
    </row>
    <row r="73" spans="1:14" x14ac:dyDescent="0.25">
      <c r="A73" s="59"/>
      <c r="B73" s="70"/>
      <c r="C73" s="16" t="str">
        <f>IF(B72="","",", "&amp;LEFT(C72,LEN(C72)-1))</f>
        <v>, 46мм</v>
      </c>
      <c r="D73" s="14">
        <f>HLOOKUP($F$52,Таблица27[#All],2)</f>
        <v>46</v>
      </c>
      <c r="E73" s="1" t="str">
        <f>IF(D73="","",""&amp;D73&amp;"мм-")</f>
        <v>46мм-</v>
      </c>
      <c r="H73" s="73">
        <v>50</v>
      </c>
      <c r="I73" s="72">
        <v>46</v>
      </c>
      <c r="J73" s="87" t="s">
        <v>40</v>
      </c>
      <c r="K73" s="87" t="s">
        <v>40</v>
      </c>
      <c r="L73" s="87" t="s">
        <v>40</v>
      </c>
      <c r="M73" s="87" t="s">
        <v>40</v>
      </c>
      <c r="N73" s="110" t="s">
        <v>40</v>
      </c>
    </row>
    <row r="74" spans="1:14" x14ac:dyDescent="0.25">
      <c r="A74" s="59"/>
      <c r="B74" s="70"/>
      <c r="D74" s="14">
        <f>HLOOKUP($F$52,Таблица27[#All],3)</f>
        <v>64</v>
      </c>
      <c r="E74" s="1" t="str">
        <f>IF(D74="","",D74&amp;"мм-")</f>
        <v>64мм-</v>
      </c>
      <c r="H74" s="77">
        <v>68</v>
      </c>
      <c r="I74" s="76">
        <v>64</v>
      </c>
      <c r="J74" s="87" t="s">
        <v>40</v>
      </c>
      <c r="K74" s="87" t="s">
        <v>40</v>
      </c>
      <c r="L74" s="87" t="s">
        <v>40</v>
      </c>
      <c r="M74" s="87" t="s">
        <v>40</v>
      </c>
      <c r="N74" s="111" t="s">
        <v>40</v>
      </c>
    </row>
    <row r="75" spans="1:14" x14ac:dyDescent="0.25">
      <c r="A75" s="59"/>
      <c r="B75" s="70"/>
      <c r="D75" s="14">
        <f>HLOOKUP($F$52,Таблица27[#All],4)</f>
        <v>100</v>
      </c>
      <c r="E75" s="1" t="str">
        <f>IF(D75="","",D75&amp;"мм-")</f>
        <v>100мм-</v>
      </c>
      <c r="H75" s="77">
        <v>104</v>
      </c>
      <c r="I75" s="76">
        <v>100</v>
      </c>
      <c r="J75" s="87" t="s">
        <v>40</v>
      </c>
      <c r="K75" s="87" t="s">
        <v>40</v>
      </c>
      <c r="L75" s="87" t="s">
        <v>40</v>
      </c>
      <c r="M75" s="87" t="s">
        <v>40</v>
      </c>
      <c r="N75" s="111" t="s">
        <v>40</v>
      </c>
    </row>
    <row r="76" spans="1:14" x14ac:dyDescent="0.25">
      <c r="A76" s="59"/>
      <c r="B76" s="70"/>
      <c r="D76" s="14" t="str">
        <f>HLOOKUP($F$52,Таблица27[#All],5)</f>
        <v>другая</v>
      </c>
      <c r="E76" s="1" t="str">
        <f>IF(D76="другая",'Опросный лист термоманометр'!F11&amp;"мм-","")</f>
        <v>мм-</v>
      </c>
      <c r="H76" s="80" t="s">
        <v>11</v>
      </c>
      <c r="I76" s="79" t="s">
        <v>11</v>
      </c>
      <c r="J76" s="87" t="s">
        <v>40</v>
      </c>
      <c r="K76" s="87" t="s">
        <v>40</v>
      </c>
      <c r="L76" s="87" t="s">
        <v>40</v>
      </c>
      <c r="M76" s="87" t="s">
        <v>40</v>
      </c>
      <c r="N76" s="112" t="s">
        <v>40</v>
      </c>
    </row>
    <row r="77" spans="1:14" x14ac:dyDescent="0.25">
      <c r="B77" s="62"/>
    </row>
    <row r="78" spans="1:14" x14ac:dyDescent="0.25">
      <c r="A78" s="118" t="s">
        <v>41</v>
      </c>
      <c r="B78" s="62"/>
    </row>
    <row r="79" spans="1:14" ht="16.5" thickBot="1" x14ac:dyDescent="0.3">
      <c r="A79" s="1">
        <v>1</v>
      </c>
      <c r="B79" s="62">
        <f>INDEX(Таблица77[Столбец1],A79,1)</f>
        <v>5</v>
      </c>
      <c r="C79" s="9" t="str">
        <f>VLOOKUP(B79,Таблица77[#All],2,)</f>
        <v>5мм</v>
      </c>
      <c r="D79" s="14" t="s">
        <v>52</v>
      </c>
      <c r="E79" s="14" t="s">
        <v>53</v>
      </c>
      <c r="H79" s="114" t="s">
        <v>86</v>
      </c>
      <c r="I79" s="114" t="s">
        <v>133</v>
      </c>
      <c r="J79" s="114" t="s">
        <v>137</v>
      </c>
      <c r="K79" s="114" t="s">
        <v>135</v>
      </c>
      <c r="L79" s="114" t="s">
        <v>136</v>
      </c>
      <c r="M79" s="114" t="s">
        <v>134</v>
      </c>
      <c r="N79" s="114" t="s">
        <v>84</v>
      </c>
    </row>
    <row r="80" spans="1:14" x14ac:dyDescent="0.25">
      <c r="A80" s="59"/>
      <c r="B80" s="70"/>
      <c r="C80" s="16" t="str">
        <f>IF(B79="","",", "&amp;C79)</f>
        <v>, 5мм</v>
      </c>
      <c r="D80" s="14">
        <f>HLOOKUP($F$52,Таблица28[#All],2)</f>
        <v>5</v>
      </c>
      <c r="E80" s="14" t="str">
        <f>IF(D80="","",D80&amp;"мм")</f>
        <v>5мм</v>
      </c>
      <c r="H80" s="73">
        <v>13</v>
      </c>
      <c r="I80" s="72">
        <v>5</v>
      </c>
      <c r="J80" s="87" t="s">
        <v>40</v>
      </c>
      <c r="K80" s="87" t="s">
        <v>40</v>
      </c>
      <c r="L80" s="87" t="s">
        <v>40</v>
      </c>
      <c r="M80" s="87" t="s">
        <v>40</v>
      </c>
      <c r="N80" s="110" t="s">
        <v>40</v>
      </c>
    </row>
    <row r="81" spans="1:14" x14ac:dyDescent="0.25">
      <c r="A81" s="59"/>
      <c r="B81" s="70"/>
      <c r="D81" s="14">
        <f>HLOOKUP($F$52,Таблица28[#All],3)</f>
        <v>6</v>
      </c>
      <c r="E81" s="14" t="str">
        <f t="shared" ref="E81:E84" si="2">IF(D81="","",D81&amp;"мм")</f>
        <v>6мм</v>
      </c>
      <c r="H81" s="115" t="s">
        <v>40</v>
      </c>
      <c r="I81" s="76">
        <v>6</v>
      </c>
      <c r="J81" s="87" t="s">
        <v>40</v>
      </c>
      <c r="K81" s="87" t="s">
        <v>40</v>
      </c>
      <c r="L81" s="87" t="s">
        <v>40</v>
      </c>
      <c r="M81" s="87" t="s">
        <v>40</v>
      </c>
      <c r="N81" s="111" t="s">
        <v>40</v>
      </c>
    </row>
    <row r="82" spans="1:14" x14ac:dyDescent="0.25">
      <c r="A82" s="59"/>
      <c r="B82" s="70"/>
      <c r="D82" s="14">
        <f>HLOOKUP($F$52,Таблица28[#All],4)</f>
        <v>8</v>
      </c>
      <c r="E82" s="14" t="str">
        <f t="shared" si="2"/>
        <v>8мм</v>
      </c>
      <c r="H82" s="115" t="s">
        <v>40</v>
      </c>
      <c r="I82" s="76">
        <v>8</v>
      </c>
      <c r="J82" s="87" t="s">
        <v>40</v>
      </c>
      <c r="K82" s="87" t="s">
        <v>40</v>
      </c>
      <c r="L82" s="87" t="s">
        <v>40</v>
      </c>
      <c r="M82" s="87" t="s">
        <v>40</v>
      </c>
      <c r="N82" s="111" t="s">
        <v>40</v>
      </c>
    </row>
    <row r="83" spans="1:14" x14ac:dyDescent="0.25">
      <c r="A83" s="59"/>
      <c r="B83" s="70"/>
      <c r="D83" s="14">
        <f>HLOOKUP($F$52,Таблица28[#All],5)</f>
        <v>10</v>
      </c>
      <c r="E83" s="14" t="str">
        <f t="shared" si="2"/>
        <v>10мм</v>
      </c>
      <c r="H83" s="115" t="s">
        <v>40</v>
      </c>
      <c r="I83" s="76">
        <v>10</v>
      </c>
      <c r="J83" s="87" t="s">
        <v>40</v>
      </c>
      <c r="K83" s="87" t="s">
        <v>40</v>
      </c>
      <c r="L83" s="87" t="s">
        <v>40</v>
      </c>
      <c r="M83" s="87" t="s">
        <v>40</v>
      </c>
      <c r="N83" s="111" t="s">
        <v>40</v>
      </c>
    </row>
    <row r="84" spans="1:14" x14ac:dyDescent="0.25">
      <c r="A84" s="59"/>
      <c r="B84" s="70"/>
      <c r="D84" s="14" t="str">
        <f>HLOOKUP($F$52,Таблица28[#All],6)</f>
        <v>другой</v>
      </c>
      <c r="E84" s="14" t="str">
        <f t="shared" si="2"/>
        <v>другоймм</v>
      </c>
      <c r="H84" s="116" t="s">
        <v>40</v>
      </c>
      <c r="I84" s="79" t="s">
        <v>16</v>
      </c>
      <c r="J84" s="87" t="s">
        <v>40</v>
      </c>
      <c r="K84" s="87" t="s">
        <v>40</v>
      </c>
      <c r="L84" s="87" t="s">
        <v>40</v>
      </c>
      <c r="M84" s="87" t="s">
        <v>40</v>
      </c>
      <c r="N84" s="112" t="s">
        <v>40</v>
      </c>
    </row>
    <row r="85" spans="1:14" x14ac:dyDescent="0.25">
      <c r="B85" s="62"/>
    </row>
    <row r="86" spans="1:14" x14ac:dyDescent="0.25">
      <c r="A86" s="118" t="s">
        <v>146</v>
      </c>
      <c r="B86" s="62"/>
    </row>
    <row r="87" spans="1:14" x14ac:dyDescent="0.25">
      <c r="A87" s="1">
        <v>1</v>
      </c>
      <c r="B87" s="62">
        <f ca="1">INDEX(D88:D97,A87,1)</f>
        <v>1</v>
      </c>
      <c r="C87" s="9" t="str">
        <f ca="1">VLOOKUP(B87,Таблица100[#All],2,)</f>
        <v>, 1м</v>
      </c>
      <c r="D87" s="14" t="s">
        <v>52</v>
      </c>
      <c r="E87" s="14" t="s">
        <v>53</v>
      </c>
      <c r="F87" s="69" t="s">
        <v>85</v>
      </c>
      <c r="G87" s="69" t="s">
        <v>86</v>
      </c>
      <c r="H87" s="69" t="s">
        <v>84</v>
      </c>
    </row>
    <row r="88" spans="1:14" x14ac:dyDescent="0.25">
      <c r="A88" s="59"/>
      <c r="B88" s="70"/>
      <c r="D88" s="14">
        <f ca="1">IF(OFFSET(F88:F97,0,$A$29-1)=0,"",OFFSET(F88:F97,0,$A$29-1))</f>
        <v>1</v>
      </c>
      <c r="E88" s="14" t="str">
        <f t="shared" ref="E88:E96" ca="1" si="3">IF(D88="","",", "&amp;D88&amp;"м")</f>
        <v>, 1м</v>
      </c>
      <c r="F88" s="72">
        <v>1</v>
      </c>
      <c r="G88" s="73"/>
      <c r="H88" s="75"/>
    </row>
    <row r="89" spans="1:14" x14ac:dyDescent="0.25">
      <c r="A89" s="59"/>
      <c r="B89" s="70"/>
      <c r="D89" s="14">
        <f ca="1">IF(OFFSET(F89:F98,0,$A$29-1)=0,"",OFFSET(F89:F98,0,$A$29-1))</f>
        <v>1.5</v>
      </c>
      <c r="E89" s="14" t="str">
        <f t="shared" ca="1" si="3"/>
        <v>, 1.5м</v>
      </c>
      <c r="F89" s="76">
        <v>1.5</v>
      </c>
      <c r="G89" s="77"/>
      <c r="H89" s="78"/>
    </row>
    <row r="90" spans="1:14" x14ac:dyDescent="0.25">
      <c r="A90" s="59"/>
      <c r="B90" s="70"/>
      <c r="D90" s="14">
        <f ca="1">IF(OFFSET(F90:F98,0,$A$29-1)=0,"",OFFSET(F90:F98,0,$A$29-1))</f>
        <v>2</v>
      </c>
      <c r="E90" s="14" t="str">
        <f t="shared" ca="1" si="3"/>
        <v>, 2м</v>
      </c>
      <c r="F90" s="76">
        <v>2</v>
      </c>
      <c r="G90" s="77"/>
      <c r="H90" s="78"/>
    </row>
    <row r="91" spans="1:14" x14ac:dyDescent="0.25">
      <c r="B91" s="70"/>
      <c r="D91" s="14">
        <f ca="1">IF(OFFSET(F91:F98,0,$A$29-1)=0,"",OFFSET(F91:F98,0,$A$29-1))</f>
        <v>2.5</v>
      </c>
      <c r="E91" s="14" t="str">
        <f t="shared" ca="1" si="3"/>
        <v>, 2.5м</v>
      </c>
      <c r="F91" s="76">
        <v>2.5</v>
      </c>
      <c r="G91" s="77"/>
      <c r="H91" s="78"/>
    </row>
    <row r="92" spans="1:14" x14ac:dyDescent="0.25">
      <c r="B92" s="70"/>
      <c r="D92" s="14">
        <f ca="1">IF(OFFSET(F92:F98,0,$A$29-1)=0,"",OFFSET(F92:F98,0,$A$29-1))</f>
        <v>3</v>
      </c>
      <c r="E92" s="14" t="str">
        <f t="shared" ca="1" si="3"/>
        <v>, 3м</v>
      </c>
      <c r="F92" s="76">
        <v>3</v>
      </c>
      <c r="G92" s="77"/>
      <c r="H92" s="78"/>
    </row>
    <row r="93" spans="1:14" x14ac:dyDescent="0.25">
      <c r="B93" s="70"/>
      <c r="D93" s="14">
        <f ca="1">IF(OFFSET(F93:F103,0,$A$29-1)=0,"",OFFSET(F93:F103,0,$A$29-1))</f>
        <v>4</v>
      </c>
      <c r="E93" s="14" t="str">
        <f t="shared" ca="1" si="3"/>
        <v>, 4м</v>
      </c>
      <c r="F93" s="76">
        <v>4</v>
      </c>
      <c r="G93" s="77"/>
      <c r="H93" s="78"/>
    </row>
    <row r="94" spans="1:14" x14ac:dyDescent="0.25">
      <c r="B94" s="70"/>
      <c r="D94" s="14">
        <f ca="1">IF(OFFSET(F94:F104,0,$A$29-1)=0,"",OFFSET(F94:F104,0,$A$29-1))</f>
        <v>5</v>
      </c>
      <c r="E94" s="14" t="str">
        <f t="shared" ca="1" si="3"/>
        <v>, 5м</v>
      </c>
      <c r="F94" s="76">
        <v>5</v>
      </c>
      <c r="G94" s="77"/>
      <c r="H94" s="78"/>
    </row>
    <row r="95" spans="1:14" x14ac:dyDescent="0.25">
      <c r="A95" s="59"/>
      <c r="B95" s="70"/>
      <c r="D95" s="14">
        <f ca="1">IF(OFFSET(F95:F111,0,$A$29-1)=0,"",OFFSET(F95:F111,0,$A$29-1))</f>
        <v>7</v>
      </c>
      <c r="E95" s="14" t="str">
        <f t="shared" ca="1" si="3"/>
        <v>, 7м</v>
      </c>
      <c r="F95" s="76">
        <v>7</v>
      </c>
      <c r="G95" s="77"/>
      <c r="H95" s="78"/>
    </row>
    <row r="96" spans="1:14" x14ac:dyDescent="0.25">
      <c r="A96" s="59"/>
      <c r="B96" s="70"/>
      <c r="D96" s="14">
        <f ca="1">IF(OFFSET(F96:F112,0,$A$29-1)=0,"",OFFSET(F96:F112,0,$A$29-1))</f>
        <v>10</v>
      </c>
      <c r="E96" s="14" t="str">
        <f t="shared" ca="1" si="3"/>
        <v>, 10м</v>
      </c>
      <c r="F96" s="76">
        <v>10</v>
      </c>
      <c r="G96" s="77"/>
      <c r="H96" s="78"/>
    </row>
    <row r="97" spans="1:14" x14ac:dyDescent="0.25">
      <c r="A97" s="59"/>
      <c r="B97" s="70"/>
      <c r="D97" s="14" t="str">
        <f ca="1">IF(OFFSET(F97:F114,0,$A$29-1)=0,"",OFFSET(F97:F114,0,$A$29-1))</f>
        <v>другая</v>
      </c>
      <c r="E97" s="14" t="str">
        <f ca="1">IF(D97="другая",", "&amp;'Опросный лист термоманометр'!F14&amp;"м","")</f>
        <v>, м</v>
      </c>
      <c r="F97" s="79" t="s">
        <v>11</v>
      </c>
      <c r="G97" s="80"/>
      <c r="H97" s="81"/>
    </row>
    <row r="98" spans="1:14" x14ac:dyDescent="0.25">
      <c r="B98" s="62"/>
    </row>
    <row r="99" spans="1:14" x14ac:dyDescent="0.25">
      <c r="A99" s="119" t="s">
        <v>20</v>
      </c>
      <c r="B99" s="62"/>
    </row>
    <row r="100" spans="1:14" ht="16.5" thickBot="1" x14ac:dyDescent="0.3">
      <c r="A100" s="1">
        <v>1</v>
      </c>
      <c r="B100" s="113" t="str">
        <f>INDEX(D101:D104,A100,1)</f>
        <v>без дополнительной защиты</v>
      </c>
      <c r="C100" s="9" t="str">
        <f>VLOOKUP(B100,Таблица111[#All],2,)</f>
        <v/>
      </c>
      <c r="D100" s="1" t="s">
        <v>52</v>
      </c>
      <c r="E100" s="1" t="s">
        <v>53</v>
      </c>
      <c r="H100" s="114" t="s">
        <v>86</v>
      </c>
      <c r="I100" s="114" t="s">
        <v>133</v>
      </c>
      <c r="J100" s="114" t="s">
        <v>137</v>
      </c>
      <c r="K100" s="114" t="s">
        <v>135</v>
      </c>
      <c r="L100" s="114" t="s">
        <v>136</v>
      </c>
      <c r="M100" s="114" t="s">
        <v>134</v>
      </c>
      <c r="N100" s="114" t="s">
        <v>84</v>
      </c>
    </row>
    <row r="101" spans="1:14" x14ac:dyDescent="0.25">
      <c r="A101" s="59"/>
      <c r="B101" s="70"/>
      <c r="C101" s="15"/>
      <c r="D101" s="1" t="str">
        <f>HLOOKUP($F$52,Таблица29[#All],2)</f>
        <v>без дополнительной защиты</v>
      </c>
      <c r="E101" s="87" t="s">
        <v>40</v>
      </c>
      <c r="H101" s="117" t="s">
        <v>40</v>
      </c>
      <c r="I101" s="82" t="s">
        <v>21</v>
      </c>
      <c r="J101" s="1" t="s">
        <v>21</v>
      </c>
      <c r="K101" s="82" t="s">
        <v>21</v>
      </c>
      <c r="L101" s="1" t="s">
        <v>21</v>
      </c>
      <c r="M101" s="1" t="s">
        <v>21</v>
      </c>
      <c r="N101" s="110" t="s">
        <v>40</v>
      </c>
    </row>
    <row r="102" spans="1:14" x14ac:dyDescent="0.25">
      <c r="A102" s="59"/>
      <c r="B102" s="70"/>
      <c r="D102" s="1" t="str">
        <f>HLOOKUP($F$52,Таблица29[#All],3)</f>
        <v>труба гофрированная полимерная</v>
      </c>
      <c r="E102" s="1" t="str">
        <f>IF(D102="труба гофрированная полимерная",", ТГ",", ПМ")</f>
        <v>, ТГ</v>
      </c>
      <c r="H102" s="92" t="s">
        <v>40</v>
      </c>
      <c r="I102" s="84" t="s">
        <v>22</v>
      </c>
      <c r="J102" s="1" t="s">
        <v>22</v>
      </c>
      <c r="K102" s="84" t="s">
        <v>22</v>
      </c>
      <c r="L102" s="1" t="s">
        <v>22</v>
      </c>
      <c r="M102" s="1" t="s">
        <v>22</v>
      </c>
      <c r="N102" s="111" t="s">
        <v>40</v>
      </c>
    </row>
    <row r="103" spans="1:14" x14ac:dyDescent="0.25">
      <c r="A103" s="59"/>
      <c r="B103" s="70"/>
      <c r="D103" s="1" t="str">
        <f>HLOOKUP($F$52,Таблица29[#All],4)</f>
        <v xml:space="preserve">другая </v>
      </c>
      <c r="E103" s="1" t="str">
        <f>IF(D103="другая",", "&amp;'Опросный лист термоманометр'!F15,", ПМ")</f>
        <v>, ПМ</v>
      </c>
      <c r="H103" s="74" t="s">
        <v>40</v>
      </c>
      <c r="I103" s="85" t="s">
        <v>29</v>
      </c>
      <c r="J103" s="1" t="str">
        <f>IF(A51&gt;2,"пружина металлическая","другая")</f>
        <v>другая</v>
      </c>
      <c r="K103" s="85" t="s">
        <v>29</v>
      </c>
      <c r="L103" s="1" t="str">
        <f>IF(A51&gt;2,"пружина металлическая","другая")</f>
        <v>другая</v>
      </c>
      <c r="M103" s="1" t="str">
        <f>IF(A51&gt;2,"пружина металлическая","другая")</f>
        <v>другая</v>
      </c>
      <c r="N103" s="112" t="s">
        <v>40</v>
      </c>
    </row>
    <row r="104" spans="1:14" x14ac:dyDescent="0.25">
      <c r="B104" s="62"/>
      <c r="D104" s="1" t="str">
        <f>HLOOKUP($F$52,Таблица29[#All],5)</f>
        <v/>
      </c>
      <c r="E104" s="1" t="str">
        <f>IF(D104="другая",", "&amp;'Опросный лист термоманометр'!F15,"")</f>
        <v/>
      </c>
      <c r="H104" s="87" t="s">
        <v>40</v>
      </c>
      <c r="I104" s="87" t="s">
        <v>40</v>
      </c>
      <c r="J104" s="1" t="str">
        <f>IF(A51&gt;2,"другая","")</f>
        <v/>
      </c>
      <c r="K104" s="87" t="s">
        <v>40</v>
      </c>
      <c r="L104" s="1" t="str">
        <f>IF(A51&gt;2,"другая","")</f>
        <v/>
      </c>
      <c r="M104" s="1" t="str">
        <f>IF(A51&gt;2,"другая","")</f>
        <v/>
      </c>
      <c r="N104" s="87" t="s">
        <v>40</v>
      </c>
    </row>
    <row r="105" spans="1:14" x14ac:dyDescent="0.25">
      <c r="B105" s="62"/>
      <c r="H105" s="87"/>
      <c r="I105" s="87"/>
      <c r="K105" s="87"/>
      <c r="N105" s="87"/>
    </row>
    <row r="106" spans="1:14" x14ac:dyDescent="0.25">
      <c r="A106" s="119" t="s">
        <v>9</v>
      </c>
      <c r="B106" s="62"/>
      <c r="H106" s="87"/>
      <c r="I106" s="87"/>
      <c r="K106" s="87"/>
      <c r="N106" s="87"/>
    </row>
    <row r="107" spans="1:14" x14ac:dyDescent="0.25">
      <c r="A107" s="1">
        <v>1</v>
      </c>
      <c r="B107" s="14" t="str">
        <f>INDEX(D108:D111,A107,1)</f>
        <v>обычное</v>
      </c>
      <c r="C107" s="9" t="str">
        <f>VLOOKUP(B107,Таблица155[#All],2,)</f>
        <v/>
      </c>
      <c r="D107" s="1" t="s">
        <v>52</v>
      </c>
      <c r="E107" s="1" t="s">
        <v>53</v>
      </c>
    </row>
    <row r="108" spans="1:14" x14ac:dyDescent="0.25">
      <c r="B108" s="62"/>
      <c r="D108" s="1" t="s">
        <v>12</v>
      </c>
      <c r="E108" s="87" t="s">
        <v>40</v>
      </c>
    </row>
    <row r="109" spans="1:14" x14ac:dyDescent="0.25">
      <c r="B109" s="62"/>
      <c r="D109" s="1" t="s">
        <v>51</v>
      </c>
      <c r="E109" s="1" t="s">
        <v>54</v>
      </c>
    </row>
    <row r="110" spans="1:14" x14ac:dyDescent="0.25">
      <c r="B110" s="62"/>
      <c r="D110" s="1" t="s">
        <v>49</v>
      </c>
      <c r="E110" s="1" t="s">
        <v>55</v>
      </c>
    </row>
    <row r="111" spans="1:14" x14ac:dyDescent="0.25">
      <c r="B111" s="62"/>
      <c r="D111" s="1" t="s">
        <v>50</v>
      </c>
      <c r="E111" s="1" t="s">
        <v>56</v>
      </c>
    </row>
    <row r="112" spans="1:14" x14ac:dyDescent="0.25">
      <c r="B112" s="62"/>
    </row>
    <row r="113" spans="1:6" x14ac:dyDescent="0.25">
      <c r="A113" s="119" t="s">
        <v>10</v>
      </c>
      <c r="B113" s="62"/>
    </row>
    <row r="114" spans="1:6" x14ac:dyDescent="0.25">
      <c r="A114" s="1">
        <v>1</v>
      </c>
      <c r="B114" s="62" t="str">
        <f>INDEX(D115:D117,A114,1)</f>
        <v>М20х1.5</v>
      </c>
      <c r="C114" s="9" t="str">
        <f>VLOOKUP(B114,Таблица16[#All],2,)</f>
        <v>, М20х1.5</v>
      </c>
      <c r="D114" s="1" t="s">
        <v>52</v>
      </c>
      <c r="E114" s="1" t="s">
        <v>53</v>
      </c>
    </row>
    <row r="115" spans="1:6" x14ac:dyDescent="0.25">
      <c r="B115" s="62"/>
      <c r="D115" s="1" t="s">
        <v>13</v>
      </c>
      <c r="E115" s="1" t="s">
        <v>74</v>
      </c>
    </row>
    <row r="116" spans="1:6" x14ac:dyDescent="0.25">
      <c r="B116" s="62"/>
      <c r="D116" s="1" t="s">
        <v>14</v>
      </c>
      <c r="E116" s="1" t="s">
        <v>75</v>
      </c>
    </row>
    <row r="117" spans="1:6" x14ac:dyDescent="0.25">
      <c r="B117" s="62"/>
      <c r="D117" s="1" t="s">
        <v>11</v>
      </c>
      <c r="E117" s="1" t="str">
        <f>", "&amp;'Опросный лист термоманометр'!F17</f>
        <v xml:space="preserve">, </v>
      </c>
    </row>
    <row r="118" spans="1:6" x14ac:dyDescent="0.25">
      <c r="B118" s="62"/>
    </row>
    <row r="119" spans="1:6" x14ac:dyDescent="0.25">
      <c r="A119" s="119" t="s">
        <v>100</v>
      </c>
      <c r="B119" s="62"/>
    </row>
    <row r="120" spans="1:6" x14ac:dyDescent="0.25">
      <c r="A120" s="1">
        <v>1</v>
      </c>
      <c r="B120" s="14" t="str">
        <f>INDEX(D121:D123,A120,1)</f>
        <v>LoRaWAN + Bluetooth Low Energy</v>
      </c>
      <c r="C120" s="9" t="str">
        <f>VLOOKUP(B120,D120:E122,2,)</f>
        <v>, LoRa</v>
      </c>
      <c r="D120" s="1" t="s">
        <v>52</v>
      </c>
      <c r="E120" s="1" t="s">
        <v>53</v>
      </c>
      <c r="F120" s="1" t="s">
        <v>107</v>
      </c>
    </row>
    <row r="121" spans="1:6" x14ac:dyDescent="0.25">
      <c r="B121" s="62"/>
      <c r="C121" s="16" t="str">
        <f>VLOOKUP(B120,D120:F122,3,)</f>
        <v>, LoRaWAN</v>
      </c>
      <c r="D121" s="1" t="s">
        <v>101</v>
      </c>
      <c r="E121" s="1" t="s">
        <v>104</v>
      </c>
      <c r="F121" s="1" t="s">
        <v>108</v>
      </c>
    </row>
    <row r="122" spans="1:6" x14ac:dyDescent="0.25">
      <c r="B122" s="62"/>
      <c r="C122" s="15"/>
      <c r="D122" s="1" t="s">
        <v>102</v>
      </c>
      <c r="E122" s="1" t="s">
        <v>106</v>
      </c>
      <c r="F122" s="1" t="s">
        <v>106</v>
      </c>
    </row>
    <row r="123" spans="1:6" x14ac:dyDescent="0.25">
      <c r="B123" s="62"/>
      <c r="D123" s="1" t="s">
        <v>103</v>
      </c>
      <c r="E123" s="1" t="s">
        <v>105</v>
      </c>
      <c r="F123" s="1" t="s">
        <v>105</v>
      </c>
    </row>
    <row r="124" spans="1:6" x14ac:dyDescent="0.25">
      <c r="B124" s="62"/>
    </row>
    <row r="125" spans="1:6" x14ac:dyDescent="0.25">
      <c r="A125" s="119" t="s">
        <v>139</v>
      </c>
      <c r="B125" s="62"/>
    </row>
    <row r="126" spans="1:6" x14ac:dyDescent="0.25">
      <c r="A126" s="59">
        <v>1</v>
      </c>
      <c r="B126" s="14" t="str">
        <f>INDEX(Таблица19[],A126,1)</f>
        <v>от -40 до +60 °C (индустриальный температурный диапазон)</v>
      </c>
      <c r="C126" s="9" t="str">
        <f>INDEX(Таблица19[],A126,2)</f>
        <v/>
      </c>
      <c r="D126" s="1" t="s">
        <v>52</v>
      </c>
      <c r="E126" s="1" t="s">
        <v>53</v>
      </c>
    </row>
    <row r="127" spans="1:6" x14ac:dyDescent="0.25">
      <c r="A127" s="59"/>
      <c r="B127" s="62"/>
      <c r="D127" s="1" t="s">
        <v>147</v>
      </c>
      <c r="E127" s="1" t="s">
        <v>40</v>
      </c>
    </row>
    <row r="128" spans="1:6" x14ac:dyDescent="0.25">
      <c r="A128" s="59"/>
      <c r="B128" s="62"/>
      <c r="D128" s="1" t="s">
        <v>148</v>
      </c>
      <c r="E128" s="1" t="s">
        <v>149</v>
      </c>
    </row>
    <row r="129" spans="1:8" x14ac:dyDescent="0.25">
      <c r="A129" s="59"/>
      <c r="B129" s="62"/>
      <c r="D129" s="1" t="s">
        <v>150</v>
      </c>
      <c r="E129" s="1" t="s">
        <v>151</v>
      </c>
    </row>
    <row r="130" spans="1:8" x14ac:dyDescent="0.25">
      <c r="A130" s="59"/>
      <c r="B130" s="62"/>
    </row>
    <row r="131" spans="1:8" x14ac:dyDescent="0.25">
      <c r="A131" s="119" t="s">
        <v>23</v>
      </c>
      <c r="B131" s="62"/>
    </row>
    <row r="132" spans="1:8" x14ac:dyDescent="0.25">
      <c r="A132" s="1">
        <v>1</v>
      </c>
      <c r="B132" s="62" t="str">
        <f>INDEX(D133:D156,A132,1)</f>
        <v>не требуется</v>
      </c>
      <c r="C132" s="9" t="str">
        <f>VLOOKUP(B132,Таблица188[#All],2,)</f>
        <v/>
      </c>
      <c r="D132" s="1" t="s">
        <v>52</v>
      </c>
      <c r="E132" s="1" t="s">
        <v>53</v>
      </c>
    </row>
    <row r="133" spans="1:8" x14ac:dyDescent="0.25">
      <c r="B133" s="7"/>
      <c r="C133" s="15" t="str">
        <f>IF(B132="требуется","Первичная поверка","")</f>
        <v/>
      </c>
      <c r="D133" s="1" t="s">
        <v>19</v>
      </c>
      <c r="E133" s="87" t="s">
        <v>40</v>
      </c>
    </row>
    <row r="134" spans="1:8" x14ac:dyDescent="0.25">
      <c r="B134" s="62"/>
      <c r="D134" s="1" t="s">
        <v>42</v>
      </c>
      <c r="E134" s="1" t="s">
        <v>73</v>
      </c>
    </row>
    <row r="136" spans="1:8" x14ac:dyDescent="0.25">
      <c r="A136" s="118" t="s">
        <v>24</v>
      </c>
    </row>
    <row r="137" spans="1:8" x14ac:dyDescent="0.25">
      <c r="A137" s="1">
        <v>1</v>
      </c>
      <c r="B137" s="62" t="str">
        <f ca="1">INDEX(D138:D141,A137,1)</f>
        <v>не требуется</v>
      </c>
      <c r="C137" s="9" t="str">
        <f ca="1">VLOOKUP(B137,Таблица122[#All],2,)</f>
        <v/>
      </c>
      <c r="D137" s="1" t="s">
        <v>52</v>
      </c>
      <c r="E137" s="1" t="s">
        <v>53</v>
      </c>
      <c r="F137" s="69" t="s">
        <v>85</v>
      </c>
      <c r="G137" s="69" t="s">
        <v>86</v>
      </c>
      <c r="H137" s="69" t="s">
        <v>84</v>
      </c>
    </row>
    <row r="138" spans="1:8" x14ac:dyDescent="0.25">
      <c r="A138" s="59"/>
      <c r="B138" s="70"/>
      <c r="D138" s="1" t="str">
        <f ca="1">IF(OFFSET(F138:F141,0,$A$29-1)=0,"",OFFSET(F138:F141,0,$A$29-1))</f>
        <v>не требуется</v>
      </c>
      <c r="E138" s="1" t="str">
        <f ca="1">IF(B137=G138,"","")</f>
        <v/>
      </c>
      <c r="F138" s="82" t="s">
        <v>19</v>
      </c>
      <c r="G138" s="83" t="s">
        <v>19</v>
      </c>
      <c r="H138" s="75"/>
    </row>
    <row r="139" spans="1:8" x14ac:dyDescent="0.25">
      <c r="B139" s="70"/>
      <c r="D139" s="1" t="str">
        <f ca="1">IF(OFFSET(F139:F141,0,$A$29-1)=0,"",OFFSET(F139:F141,0,$A$29-1))</f>
        <v>М20х1.5</v>
      </c>
      <c r="E139" s="1" t="str">
        <f ca="1">IF(B137=G139,"Гильза "&amp;G139,"")</f>
        <v/>
      </c>
      <c r="F139" s="84" t="s">
        <v>13</v>
      </c>
      <c r="G139" s="69" t="s">
        <v>13</v>
      </c>
      <c r="H139" s="78"/>
    </row>
    <row r="140" spans="1:8" x14ac:dyDescent="0.25">
      <c r="B140" s="70"/>
      <c r="D140" s="1" t="str">
        <f ca="1">IF(OFFSET(F140:F141,0,$A$29-1)=0,"",OFFSET(F140:F141,0,$A$29-1))</f>
        <v>G1/2</v>
      </c>
      <c r="E140" s="1" t="str">
        <f ca="1">IF(B137=G140,"Гильза "&amp;G140,"")</f>
        <v/>
      </c>
      <c r="F140" s="84" t="s">
        <v>14</v>
      </c>
      <c r="G140" s="69" t="s">
        <v>14</v>
      </c>
      <c r="H140" s="78"/>
    </row>
    <row r="141" spans="1:8" x14ac:dyDescent="0.25">
      <c r="B141" s="70"/>
      <c r="D141" s="1" t="str">
        <f ca="1">IF(OFFSET(F141:F141,0,$A$29-1)=0,"",OFFSET(F141:F141,0,$A$29-1))</f>
        <v>другая</v>
      </c>
      <c r="E141" s="1" t="str">
        <f ca="1">IF(B137=G141,"Гильза "&amp;'Опросный лист термоманометр'!F22,"")</f>
        <v/>
      </c>
      <c r="F141" s="85" t="s">
        <v>11</v>
      </c>
      <c r="G141" s="86" t="s">
        <v>11</v>
      </c>
      <c r="H141" s="81"/>
    </row>
    <row r="142" spans="1:8" x14ac:dyDescent="0.25">
      <c r="A142" s="59"/>
      <c r="B142" s="70"/>
      <c r="F142" s="69"/>
      <c r="G142" s="69"/>
      <c r="H142" s="69"/>
    </row>
    <row r="143" spans="1:8" x14ac:dyDescent="0.25">
      <c r="A143" s="118" t="s">
        <v>110</v>
      </c>
      <c r="B143" s="70"/>
      <c r="F143" s="69"/>
      <c r="G143" s="69"/>
      <c r="H143" s="69"/>
    </row>
    <row r="144" spans="1:8" x14ac:dyDescent="0.25">
      <c r="A144" s="1">
        <v>1</v>
      </c>
      <c r="B144" s="62" t="str">
        <f>INDEX(D145:D151,A144,1)</f>
        <v>не требуется</v>
      </c>
      <c r="C144" s="9" t="str">
        <f>VLOOKUP(B144,Таблица8[],2,)</f>
        <v/>
      </c>
      <c r="D144" s="1" t="s">
        <v>52</v>
      </c>
      <c r="E144" s="1" t="s">
        <v>53</v>
      </c>
      <c r="F144" s="69" t="s">
        <v>107</v>
      </c>
      <c r="G144" s="69"/>
      <c r="H144" s="69"/>
    </row>
    <row r="145" spans="1:8" ht="144.75" customHeight="1" x14ac:dyDescent="0.25">
      <c r="A145" s="59"/>
      <c r="B145" s="70"/>
      <c r="C145" s="46" t="str">
        <f>VLOOKUP(B144,Таблица8[],3,)</f>
        <v/>
      </c>
      <c r="D145" s="1" t="s">
        <v>19</v>
      </c>
      <c r="E145" s="87" t="s">
        <v>40</v>
      </c>
      <c r="F145" s="71" t="s">
        <v>40</v>
      </c>
      <c r="G145" s="69"/>
      <c r="H145" s="69"/>
    </row>
    <row r="146" spans="1:8" ht="81" customHeight="1" x14ac:dyDescent="0.25">
      <c r="A146" s="59"/>
      <c r="B146" s="70"/>
      <c r="D146" s="5" t="s">
        <v>89</v>
      </c>
      <c r="E146" s="5" t="s">
        <v>94</v>
      </c>
      <c r="F146" s="88" t="s">
        <v>114</v>
      </c>
      <c r="G146" s="69"/>
      <c r="H146" s="89"/>
    </row>
    <row r="147" spans="1:8" ht="126" x14ac:dyDescent="0.25">
      <c r="A147" s="59"/>
      <c r="B147" s="70"/>
      <c r="D147" s="5" t="s">
        <v>90</v>
      </c>
      <c r="E147" s="5" t="s">
        <v>95</v>
      </c>
      <c r="F147" s="90" t="s">
        <v>115</v>
      </c>
      <c r="G147" s="69"/>
      <c r="H147" s="69"/>
    </row>
    <row r="148" spans="1:8" ht="78.75" x14ac:dyDescent="0.25">
      <c r="A148" s="59"/>
      <c r="B148" s="70"/>
      <c r="C148" s="15"/>
      <c r="D148" s="5" t="s">
        <v>91</v>
      </c>
      <c r="E148" s="5" t="s">
        <v>96</v>
      </c>
      <c r="F148" s="91" t="s">
        <v>112</v>
      </c>
      <c r="G148" s="69"/>
      <c r="H148" s="69"/>
    </row>
    <row r="149" spans="1:8" ht="78.75" x14ac:dyDescent="0.25">
      <c r="A149" s="59"/>
      <c r="B149" s="70"/>
      <c r="C149" s="15"/>
      <c r="D149" s="5" t="s">
        <v>92</v>
      </c>
      <c r="E149" s="5" t="s">
        <v>97</v>
      </c>
      <c r="F149" s="91" t="s">
        <v>116</v>
      </c>
      <c r="G149" s="69"/>
      <c r="H149" s="69"/>
    </row>
    <row r="150" spans="1:8" ht="63" x14ac:dyDescent="0.25">
      <c r="A150" s="59"/>
      <c r="B150" s="70"/>
      <c r="C150" s="15"/>
      <c r="D150" s="5" t="s">
        <v>93</v>
      </c>
      <c r="E150" s="5" t="s">
        <v>98</v>
      </c>
      <c r="F150" s="91" t="s">
        <v>117</v>
      </c>
      <c r="G150" s="69"/>
      <c r="H150" s="69"/>
    </row>
    <row r="151" spans="1:8" x14ac:dyDescent="0.25">
      <c r="A151" s="59"/>
      <c r="B151" s="70"/>
      <c r="C151" s="15"/>
      <c r="D151" s="5" t="s">
        <v>11</v>
      </c>
      <c r="E151" s="5" t="s">
        <v>113</v>
      </c>
      <c r="F151" s="92" t="s">
        <v>40</v>
      </c>
      <c r="G151" s="69"/>
      <c r="H151" s="69"/>
    </row>
    <row r="152" spans="1:8" x14ac:dyDescent="0.25">
      <c r="B152" s="62"/>
    </row>
    <row r="156" spans="1:8" x14ac:dyDescent="0.25">
      <c r="B156" s="62"/>
    </row>
    <row r="157" spans="1:8" x14ac:dyDescent="0.25">
      <c r="A157" s="93" t="s">
        <v>76</v>
      </c>
      <c r="B157" s="62"/>
    </row>
    <row r="158" spans="1:8" x14ac:dyDescent="0.25">
      <c r="A158" s="9" t="str">
        <f ca="1">"Термоманометр ""Автон"" ("&amp;C5&amp;C20&amp;C51&amp;C61&amp;C67&amp;C72&amp;C79&amp;C87&amp;C100&amp;C107&amp;C114&amp;C126&amp;C132&amp;C144&amp;C120&amp;")"</f>
        <v>Термоманометр "Автон" (16МПа, 0.25%, -40..+85C, 1C, ТЩ3-46мм-5мм, 1м, М20х1.5, LoRa)</v>
      </c>
      <c r="B158" s="94"/>
      <c r="C158" s="9"/>
      <c r="D158" s="9"/>
      <c r="E158" s="9"/>
    </row>
    <row r="159" spans="1:8" x14ac:dyDescent="0.25">
      <c r="A159" s="15"/>
      <c r="B159" s="95"/>
      <c r="C159" s="15"/>
      <c r="D159" s="15"/>
      <c r="E159" s="15"/>
    </row>
    <row r="160" spans="1:8" x14ac:dyDescent="0.25">
      <c r="A160" s="93" t="s">
        <v>77</v>
      </c>
      <c r="B160" s="95"/>
      <c r="C160" s="15"/>
      <c r="D160" s="15"/>
      <c r="E160" s="15"/>
    </row>
    <row r="161" spans="1:5" x14ac:dyDescent="0.25">
      <c r="A161" s="9" t="str">
        <f ca="1">"Термоманометр A835 ("&amp;C5&amp;C20&amp;C51&amp;C61&amp;C73&amp;C80&amp;C87&amp;C107&amp;C114&amp;C121&amp;")"</f>
        <v>Термоманометр A835 (16МПа, 0.25%, -40..+85C, 1C, 46мм, 5мм, 1м, М20х1.5, LoRaWAN)</v>
      </c>
      <c r="B161" s="94"/>
      <c r="C161" s="9"/>
      <c r="D161" s="9"/>
      <c r="E161" s="9"/>
    </row>
    <row r="162" spans="1:5" x14ac:dyDescent="0.25">
      <c r="A162" s="9" t="str">
        <f ca="1">C137</f>
        <v/>
      </c>
      <c r="B162" s="94"/>
      <c r="C162" s="9"/>
      <c r="D162" s="9"/>
      <c r="E162" s="9"/>
    </row>
    <row r="163" spans="1:5" ht="111.75" customHeight="1" x14ac:dyDescent="0.25">
      <c r="A163" s="129" t="str">
        <f>IF(B144="другая",'Опросный лист термоманометр'!D24,C145)</f>
        <v/>
      </c>
      <c r="B163" s="129"/>
      <c r="C163" s="129"/>
      <c r="D163" s="129"/>
      <c r="E163" s="129"/>
    </row>
    <row r="192" spans="1:2" x14ac:dyDescent="0.25">
      <c r="A192" s="60"/>
      <c r="B192" s="61"/>
    </row>
  </sheetData>
  <mergeCells count="2">
    <mergeCell ref="A1:B1"/>
    <mergeCell ref="A163:E163"/>
  </mergeCells>
  <pageMargins left="0.7" right="0.7" top="0.75" bottom="0.75" header="0.3" footer="0.3"/>
  <pageSetup paperSize="9" orientation="portrait" horizontalDpi="4294967292" verticalDpi="1200" r:id="rId1"/>
  <tableParts count="24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I22"/>
  <sheetViews>
    <sheetView workbookViewId="0">
      <selection activeCell="B21" sqref="B21"/>
    </sheetView>
  </sheetViews>
  <sheetFormatPr defaultRowHeight="12.75" x14ac:dyDescent="0.2"/>
  <cols>
    <col min="1" max="1" width="5.28515625" customWidth="1"/>
    <col min="2" max="2" width="3.85546875" customWidth="1"/>
    <col min="3" max="3" width="35.85546875" customWidth="1"/>
    <col min="4" max="4" width="4.85546875" customWidth="1"/>
    <col min="5" max="5" width="46.85546875" customWidth="1"/>
  </cols>
  <sheetData>
    <row r="1" spans="1:9" ht="18" x14ac:dyDescent="0.2">
      <c r="A1" s="8" t="s">
        <v>45</v>
      </c>
    </row>
    <row r="2" spans="1:9" ht="18" x14ac:dyDescent="0.2">
      <c r="A2" s="8"/>
    </row>
    <row r="3" spans="1:9" ht="20.25" customHeight="1" x14ac:dyDescent="0.2">
      <c r="A3" s="8"/>
      <c r="B3" s="13" t="s">
        <v>130</v>
      </c>
    </row>
    <row r="4" spans="1:9" ht="146.25" customHeight="1" x14ac:dyDescent="0.2">
      <c r="A4" s="8"/>
      <c r="C4" s="10" t="s">
        <v>88</v>
      </c>
      <c r="E4" s="10" t="s">
        <v>31</v>
      </c>
      <c r="I4" s="17"/>
    </row>
    <row r="5" spans="1:9" ht="154.5" customHeight="1" x14ac:dyDescent="0.2">
      <c r="A5" s="8"/>
      <c r="C5" s="130" t="s">
        <v>30</v>
      </c>
      <c r="D5" s="130"/>
      <c r="E5" s="130"/>
      <c r="I5" s="17"/>
    </row>
    <row r="6" spans="1:9" ht="19.5" customHeight="1" x14ac:dyDescent="0.2">
      <c r="A6" s="8"/>
      <c r="B6" s="13" t="s">
        <v>131</v>
      </c>
      <c r="C6" s="45"/>
      <c r="D6" s="45"/>
      <c r="E6" s="45"/>
      <c r="I6" s="17"/>
    </row>
    <row r="7" spans="1:9" ht="18" customHeight="1" x14ac:dyDescent="0.2">
      <c r="A7" s="8"/>
      <c r="C7" s="45" t="s">
        <v>120</v>
      </c>
      <c r="D7" s="45"/>
      <c r="E7" s="45"/>
      <c r="I7" s="17"/>
    </row>
    <row r="8" spans="1:9" ht="154.5" customHeight="1" x14ac:dyDescent="0.2">
      <c r="A8" s="8"/>
      <c r="C8" s="45"/>
      <c r="D8" s="45"/>
      <c r="E8" s="45"/>
      <c r="I8" s="17"/>
    </row>
    <row r="9" spans="1:9" ht="14.25" customHeight="1" x14ac:dyDescent="0.2">
      <c r="A9" s="8"/>
      <c r="C9" s="45" t="s">
        <v>121</v>
      </c>
      <c r="D9" s="45"/>
      <c r="E9" s="45" t="s">
        <v>122</v>
      </c>
      <c r="I9" s="17"/>
    </row>
    <row r="10" spans="1:9" ht="132" customHeight="1" x14ac:dyDescent="0.2">
      <c r="A10" s="8"/>
      <c r="C10" s="45"/>
      <c r="D10" s="45"/>
      <c r="E10" s="45"/>
      <c r="I10" s="17"/>
    </row>
    <row r="11" spans="1:9" ht="16.5" customHeight="1" x14ac:dyDescent="0.2">
      <c r="A11" s="8"/>
      <c r="C11" s="45" t="s">
        <v>123</v>
      </c>
      <c r="D11" s="45"/>
      <c r="E11" s="45"/>
      <c r="I11" s="17"/>
    </row>
    <row r="12" spans="1:9" ht="105" customHeight="1" x14ac:dyDescent="0.2">
      <c r="A12" s="8"/>
      <c r="C12" s="132"/>
      <c r="D12" s="132"/>
      <c r="E12" s="132"/>
      <c r="I12" s="17"/>
    </row>
    <row r="13" spans="1:9" ht="21" customHeight="1" x14ac:dyDescent="0.2">
      <c r="B13" s="13" t="s">
        <v>44</v>
      </c>
      <c r="I13" s="17"/>
    </row>
    <row r="14" spans="1:9" s="10" customFormat="1" ht="148.5" customHeight="1" x14ac:dyDescent="0.2">
      <c r="C14" s="11" t="s">
        <v>25</v>
      </c>
      <c r="E14" s="11" t="s">
        <v>27</v>
      </c>
      <c r="I14"/>
    </row>
    <row r="15" spans="1:9" s="10" customFormat="1" ht="141.75" customHeight="1" x14ac:dyDescent="0.2">
      <c r="C15" s="11" t="s">
        <v>26</v>
      </c>
      <c r="E15" s="11" t="s">
        <v>28</v>
      </c>
      <c r="I15" s="17"/>
    </row>
    <row r="16" spans="1:9" x14ac:dyDescent="0.2">
      <c r="B16" s="12"/>
      <c r="I16" s="17"/>
    </row>
    <row r="17" spans="2:9" ht="26.25" customHeight="1" x14ac:dyDescent="0.2">
      <c r="B17" s="12" t="s">
        <v>41</v>
      </c>
      <c r="I17" s="17"/>
    </row>
    <row r="18" spans="2:9" ht="19.5" customHeight="1" x14ac:dyDescent="0.2">
      <c r="C18" t="s">
        <v>46</v>
      </c>
      <c r="E18" t="s">
        <v>47</v>
      </c>
    </row>
    <row r="19" spans="2:9" ht="162" customHeight="1" x14ac:dyDescent="0.2">
      <c r="I19" s="17"/>
    </row>
    <row r="21" spans="2:9" ht="17.25" customHeight="1" x14ac:dyDescent="0.2">
      <c r="B21" s="12" t="s">
        <v>99</v>
      </c>
    </row>
    <row r="22" spans="2:9" ht="381.75" customHeight="1" x14ac:dyDescent="0.2">
      <c r="B22" s="131"/>
      <c r="C22" s="131"/>
      <c r="D22" s="131"/>
      <c r="E22" s="131"/>
    </row>
  </sheetData>
  <mergeCells count="3">
    <mergeCell ref="C5:E5"/>
    <mergeCell ref="B22:E22"/>
    <mergeCell ref="C12:E12"/>
  </mergeCells>
  <pageMargins left="0.70866141732283472" right="0.70866141732283472" top="0.41" bottom="0.74803149606299213" header="0.31496062992125984" footer="0.31496062992125984"/>
  <pageSetup paperSize="9" scale="57" orientation="portrait" horizontalDpi="4294967292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7</vt:i4>
      </vt:variant>
    </vt:vector>
  </HeadingPairs>
  <TitlesOfParts>
    <vt:vector size="10" baseType="lpstr">
      <vt:lpstr>Опросный лист термоманометр</vt:lpstr>
      <vt:lpstr>Лист1</vt:lpstr>
      <vt:lpstr>Справка</vt:lpstr>
      <vt:lpstr>Конструктивные_исполнения_по_месту_измерения_температуры</vt:lpstr>
      <vt:lpstr>Конструктивные_исполнения_термощупов</vt:lpstr>
      <vt:lpstr>'Опросный лист термоманометр'!Область_печати</vt:lpstr>
      <vt:lpstr>Справка!Область_печати</vt:lpstr>
      <vt:lpstr>Пример_компоновки_арматуры_присоединительной</vt:lpstr>
      <vt:lpstr>Способ_подключения_кабеля_к_термощупу</vt:lpstr>
      <vt:lpstr>Способы_крепления_термощупа</vt:lpstr>
    </vt:vector>
  </TitlesOfParts>
  <Company>нефтегаз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Кукина Ольга</cp:lastModifiedBy>
  <cp:lastPrinted>2023-02-10T08:58:32Z</cp:lastPrinted>
  <dcterms:created xsi:type="dcterms:W3CDTF">2008-11-24T06:26:29Z</dcterms:created>
  <dcterms:modified xsi:type="dcterms:W3CDTF">2023-06-07T14:10:07Z</dcterms:modified>
</cp:coreProperties>
</file>