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810" windowWidth="13275" windowHeight="9465"/>
  </bookViews>
  <sheets>
    <sheet name="Опросный лист шлюз" sheetId="2" r:id="rId1"/>
    <sheet name="Лист1" sheetId="4" state="hidden" r:id="rId2"/>
  </sheets>
  <externalReferences>
    <externalReference r:id="rId3"/>
  </externalReferences>
  <definedNames>
    <definedName name="Test" localSheetId="1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>'Опросный лист шлюз'!#REF!</definedName>
    <definedName name="_xlnm.Print_Area" localSheetId="1">Лист1!#REF!</definedName>
    <definedName name="_xlnm.Print_Area" localSheetId="0">'Опросный лист шлюз'!$A$1:$F$32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>'Опросный лист шлюз'!#REF!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4525"/>
</workbook>
</file>

<file path=xl/calcChain.xml><?xml version="1.0" encoding="utf-8"?>
<calcChain xmlns="http://schemas.openxmlformats.org/spreadsheetml/2006/main">
  <c r="C5" i="2" l="1"/>
  <c r="H16" i="4"/>
  <c r="H15" i="4"/>
  <c r="F16" i="4"/>
  <c r="F15" i="4"/>
  <c r="D15" i="4" l="1"/>
  <c r="E16" i="4"/>
  <c r="D16" i="4"/>
  <c r="B15" i="4" s="1"/>
  <c r="E15" i="4"/>
  <c r="C4" i="2"/>
  <c r="B12" i="2"/>
  <c r="B10" i="2"/>
  <c r="C9" i="2"/>
  <c r="C8" i="2"/>
  <c r="C15" i="4" l="1"/>
  <c r="C54" i="4"/>
  <c r="B54" i="4"/>
  <c r="E72" i="4" l="1"/>
  <c r="E73" i="4"/>
  <c r="D73" i="4"/>
  <c r="D74" i="4"/>
  <c r="D72" i="4"/>
  <c r="I74" i="4"/>
  <c r="H74" i="4"/>
  <c r="E74" i="4" s="1"/>
  <c r="E11" i="4"/>
  <c r="D11" i="4"/>
  <c r="E10" i="4"/>
  <c r="D10" i="4"/>
  <c r="E61" i="4"/>
  <c r="E62" i="4"/>
  <c r="E63" i="4"/>
  <c r="D62" i="4"/>
  <c r="D63" i="4"/>
  <c r="D61" i="4"/>
  <c r="B48" i="4"/>
  <c r="C48" i="4" s="1"/>
  <c r="H45" i="4"/>
  <c r="E45" i="4" s="1"/>
  <c r="E43" i="4"/>
  <c r="E44" i="4"/>
  <c r="E42" i="4"/>
  <c r="D43" i="4"/>
  <c r="D44" i="4"/>
  <c r="D45" i="4"/>
  <c r="D42" i="4"/>
  <c r="B20" i="4"/>
  <c r="E24" i="4"/>
  <c r="E25" i="4"/>
  <c r="D24" i="4"/>
  <c r="D25" i="4"/>
  <c r="E29" i="4"/>
  <c r="E30" i="4"/>
  <c r="E31" i="4"/>
  <c r="E32" i="4"/>
  <c r="E33" i="4"/>
  <c r="E34" i="4"/>
  <c r="E35" i="4"/>
  <c r="E36" i="4"/>
  <c r="E37" i="4"/>
  <c r="E38" i="4"/>
  <c r="D30" i="4"/>
  <c r="D31" i="4"/>
  <c r="D32" i="4"/>
  <c r="D33" i="4"/>
  <c r="D34" i="4"/>
  <c r="D35" i="4"/>
  <c r="D36" i="4"/>
  <c r="D37" i="4"/>
  <c r="D38" i="4"/>
  <c r="D29" i="4"/>
  <c r="B23" i="4" l="1"/>
  <c r="B79" i="4" s="1"/>
  <c r="B28" i="4"/>
  <c r="C28" i="4" s="1"/>
  <c r="C23" i="4" l="1"/>
  <c r="C31" i="2"/>
  <c r="B72" i="4"/>
  <c r="C72" i="4" s="1"/>
  <c r="B4" i="4"/>
  <c r="C4" i="4" s="1"/>
  <c r="B10" i="4" l="1"/>
  <c r="C10" i="4" s="1"/>
  <c r="B42" i="4" l="1"/>
  <c r="C42" i="4" s="1"/>
  <c r="B78" i="4" s="1"/>
  <c r="B61" i="4"/>
  <c r="C61" i="4" l="1"/>
  <c r="B80" i="4" s="1"/>
  <c r="C29" i="2" l="1"/>
  <c r="C27" i="2"/>
</calcChain>
</file>

<file path=xl/sharedStrings.xml><?xml version="1.0" encoding="utf-8"?>
<sst xmlns="http://schemas.openxmlformats.org/spreadsheetml/2006/main" count="211" uniqueCount="81">
  <si>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</si>
  <si>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</si>
  <si>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</si>
  <si>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</si>
  <si>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</si>
  <si>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другое</t>
  </si>
  <si>
    <t>Количество, шт</t>
  </si>
  <si>
    <t>Дополнительные требования</t>
  </si>
  <si>
    <t>Если выбрано "другое", то впишите значение</t>
  </si>
  <si>
    <t>Код для заказа</t>
  </si>
  <si>
    <t>не требуется</t>
  </si>
  <si>
    <t>Выбранный вариант</t>
  </si>
  <si>
    <t>В спецификацию</t>
  </si>
  <si>
    <t/>
  </si>
  <si>
    <t xml:space="preserve">Опросный лист на Шлюз "Автон" </t>
  </si>
  <si>
    <t>RS-485</t>
  </si>
  <si>
    <t>Bluetooth</t>
  </si>
  <si>
    <t>Опции</t>
  </si>
  <si>
    <t>Питание шлюза</t>
  </si>
  <si>
    <t>от аккумулятора</t>
  </si>
  <si>
    <t>стационарное 24 В</t>
  </si>
  <si>
    <t>Крепление</t>
  </si>
  <si>
    <t>Дополнительная комплектация</t>
  </si>
  <si>
    <t>Интерфейсы связи с датчиками</t>
  </si>
  <si>
    <t>LoRa</t>
  </si>
  <si>
    <t>GSM</t>
  </si>
  <si>
    <t>Цифровые и аналоговые входы/выходы</t>
  </si>
  <si>
    <t>2 входа 4-20 мА</t>
  </si>
  <si>
    <t>2 счетных входа</t>
  </si>
  <si>
    <t>2 входа 4-20 мА, 2 счетных входа</t>
  </si>
  <si>
    <t>4 входа 4-20 мА</t>
  </si>
  <si>
    <t>4 счетных входа</t>
  </si>
  <si>
    <t>2 выхода «открытый коллектор»</t>
  </si>
  <si>
    <t>2 входа 4-20 мА, 2 выхода «открытый коллектор»</t>
  </si>
  <si>
    <t>2 счетных входа, 2 выхода «открытый коллектор»</t>
  </si>
  <si>
    <t>4 выхода «открытый коллектор»</t>
  </si>
  <si>
    <t>нет</t>
  </si>
  <si>
    <t>Монтажная (распаячная) коробка</t>
  </si>
  <si>
    <t>Блок питания 220В/24В</t>
  </si>
  <si>
    <t>Столбец1</t>
  </si>
  <si>
    <t>Столбец2</t>
  </si>
  <si>
    <t>Передача данных</t>
  </si>
  <si>
    <t xml:space="preserve"> автономный</t>
  </si>
  <si>
    <t>Столбец3</t>
  </si>
  <si>
    <t>есть</t>
  </si>
  <si>
    <t>требуется</t>
  </si>
  <si>
    <t xml:space="preserve">RS485, </t>
  </si>
  <si>
    <t xml:space="preserve">AIn 2, </t>
  </si>
  <si>
    <t xml:space="preserve">DOut 2, </t>
  </si>
  <si>
    <t xml:space="preserve">AIn 2, DIn 2, </t>
  </si>
  <si>
    <t xml:space="preserve">AIn 2, DOut 2, </t>
  </si>
  <si>
    <t xml:space="preserve">DIn 2, DOut 2, </t>
  </si>
  <si>
    <t xml:space="preserve">AIn 4, </t>
  </si>
  <si>
    <t xml:space="preserve">DIn 4, </t>
  </si>
  <si>
    <t xml:space="preserve">DOut 4, </t>
  </si>
  <si>
    <t xml:space="preserve">DIn 2, </t>
  </si>
  <si>
    <t xml:space="preserve">1м, </t>
  </si>
  <si>
    <t>другая</t>
  </si>
  <si>
    <t xml:space="preserve">5м, </t>
  </si>
  <si>
    <t xml:space="preserve">10м, </t>
  </si>
  <si>
    <t>NB-IoT</t>
  </si>
  <si>
    <t>для помещений</t>
  </si>
  <si>
    <t>для наружной установки</t>
  </si>
  <si>
    <t>Монтажная (распаячная) коробка для помещений</t>
  </si>
  <si>
    <t>Монтажная (распаячная) коробка для наружной установки</t>
  </si>
  <si>
    <t>Блок питания</t>
  </si>
  <si>
    <t>на мачту</t>
  </si>
  <si>
    <t>струбциной</t>
  </si>
  <si>
    <t>Крепление на мачту</t>
  </si>
  <si>
    <t>Крепление струбциной</t>
  </si>
  <si>
    <t>LoRaWAN + Bluetooth Low Energy</t>
  </si>
  <si>
    <t>GSM + Bluetooth Low Energy</t>
  </si>
  <si>
    <t>NB-IoT + Bluetooth Low Energy</t>
  </si>
  <si>
    <t>Длина кабеля</t>
  </si>
  <si>
    <t>Рабочие условия эксплуатации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</si>
  <si>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</si>
  <si>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</si>
  <si>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</si>
  <si>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</si>
  <si>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</si>
  <si>
    <t>Разъём для подключения блока питания "Автон"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</si>
</sst>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1E1E1E"/>
      <name val="Segoe UI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2"/>
      <color rgb="FF1E1E1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i/>
      <u/>
      <sz val="12"/>
      <color theme="0"/>
      <name val="Calibri"/>
      <family val="2"/>
      <charset val="204"/>
      <scheme val="minor"/>
    </font>
    <font>
      <b/>
      <i/>
      <u/>
      <sz val="12"/>
      <color theme="9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NumberFormat="1"/>
    <xf numFmtId="0" fontId="2" fillId="0" borderId="0" xfId="0" applyFont="1" applyAlignment="1">
      <alignment horizontal="right" vertical="top" wrapText="1"/>
    </xf>
    <xf numFmtId="0" fontId="0" fillId="3" borderId="0" xfId="0" applyFill="1"/>
    <xf numFmtId="0" fontId="2" fillId="3" borderId="0" xfId="0" applyFont="1" applyFill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3" borderId="0" xfId="0" quotePrefix="1" applyFill="1"/>
    <xf numFmtId="0" fontId="2" fillId="3" borderId="0" xfId="0" applyFont="1" applyFill="1" applyAlignment="1">
      <alignment wrapText="1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quotePrefix="1" applyBorder="1" applyAlignment="1"/>
    <xf numFmtId="0" fontId="0" fillId="0" borderId="5" xfId="0" quotePrefix="1" applyBorder="1"/>
    <xf numFmtId="0" fontId="0" fillId="0" borderId="5" xfId="0" quotePrefix="1" applyBorder="1" applyAlignment="1">
      <alignment horizontal="left"/>
    </xf>
    <xf numFmtId="0" fontId="0" fillId="0" borderId="6" xfId="0" quotePrefix="1" applyBorder="1" applyAlignment="1"/>
    <xf numFmtId="0" fontId="0" fillId="0" borderId="7" xfId="0" quotePrefix="1" applyBorder="1" applyAlignment="1">
      <alignment horizontal="left"/>
    </xf>
    <xf numFmtId="0" fontId="0" fillId="0" borderId="4" xfId="0" applyBorder="1"/>
    <xf numFmtId="0" fontId="0" fillId="0" borderId="5" xfId="0" quotePrefix="1" applyBorder="1" applyAlignment="1">
      <alignment horizontal="right"/>
    </xf>
    <xf numFmtId="0" fontId="0" fillId="0" borderId="6" xfId="0" applyBorder="1"/>
    <xf numFmtId="0" fontId="0" fillId="0" borderId="7" xfId="0" quotePrefix="1" applyBorder="1" applyAlignment="1">
      <alignment horizontal="right"/>
    </xf>
    <xf numFmtId="0" fontId="0" fillId="0" borderId="4" xfId="0" quotePrefix="1" applyBorder="1"/>
    <xf numFmtId="0" fontId="0" fillId="0" borderId="1" xfId="0" applyBorder="1" applyAlignment="1">
      <alignment horizontal="left"/>
    </xf>
    <xf numFmtId="0" fontId="2" fillId="3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quotePrefix="1" applyBorder="1"/>
    <xf numFmtId="0" fontId="0" fillId="0" borderId="6" xfId="0" quotePrefix="1" applyBorder="1"/>
    <xf numFmtId="0" fontId="2" fillId="3" borderId="0" xfId="0" applyFont="1" applyFill="1" applyAlignment="1">
      <alignment horizontal="left"/>
    </xf>
    <xf numFmtId="0" fontId="0" fillId="0" borderId="0" xfId="0" quotePrefix="1" applyBorder="1" applyAlignment="1"/>
    <xf numFmtId="0" fontId="0" fillId="0" borderId="0" xfId="0" quotePrefix="1" applyBorder="1" applyAlignment="1">
      <alignment horizontal="left"/>
    </xf>
    <xf numFmtId="0" fontId="0" fillId="0" borderId="0" xfId="0" applyBorder="1"/>
    <xf numFmtId="0" fontId="0" fillId="0" borderId="0" xfId="0" quotePrefix="1" applyBorder="1" applyAlignment="1">
      <alignment horizontal="right"/>
    </xf>
    <xf numFmtId="0" fontId="0" fillId="0" borderId="2" xfId="0" quotePrefix="1" applyBorder="1" applyAlignment="1"/>
    <xf numFmtId="0" fontId="0" fillId="0" borderId="3" xfId="0" quotePrefix="1" applyBorder="1" applyAlignment="1">
      <alignment horizontal="left"/>
    </xf>
    <xf numFmtId="0" fontId="0" fillId="0" borderId="0" xfId="0" quotePrefix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8" xfId="0" quotePrefix="1" applyBorder="1" applyAlignment="1"/>
    <xf numFmtId="0" fontId="0" fillId="0" borderId="11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/>
    <xf numFmtId="0" fontId="2" fillId="0" borderId="12" xfId="0" applyFont="1" applyBorder="1" applyAlignment="1">
      <alignment vertical="center"/>
    </xf>
    <xf numFmtId="0" fontId="4" fillId="0" borderId="12" xfId="0" applyFont="1" applyBorder="1"/>
    <xf numFmtId="0" fontId="2" fillId="0" borderId="12" xfId="0" applyFont="1" applyBorder="1" applyAlignment="1" applyProtection="1">
      <protection locked="0"/>
    </xf>
    <xf numFmtId="0" fontId="2" fillId="0" borderId="12" xfId="0" applyFont="1" applyBorder="1" applyAlignment="1">
      <alignment vertical="top"/>
    </xf>
    <xf numFmtId="0" fontId="2" fillId="0" borderId="14" xfId="0" applyFont="1" applyBorder="1"/>
    <xf numFmtId="0" fontId="2" fillId="3" borderId="15" xfId="0" applyFont="1" applyFill="1" applyBorder="1"/>
    <xf numFmtId="0" fontId="2" fillId="3" borderId="16" xfId="0" applyFont="1" applyFill="1" applyBorder="1"/>
    <xf numFmtId="0" fontId="8" fillId="0" borderId="12" xfId="0" applyFont="1" applyBorder="1" applyAlignment="1">
      <alignment vertical="center"/>
    </xf>
    <xf numFmtId="0" fontId="2" fillId="2" borderId="0" xfId="0" applyFont="1" applyFill="1"/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13" xfId="0" applyFont="1" applyFill="1" applyBorder="1"/>
    <xf numFmtId="0" fontId="2" fillId="3" borderId="18" xfId="0" applyFont="1" applyFill="1" applyBorder="1"/>
    <xf numFmtId="0" fontId="2" fillId="3" borderId="17" xfId="0" applyFont="1" applyFill="1" applyBorder="1"/>
    <xf numFmtId="0" fontId="2" fillId="3" borderId="19" xfId="0" applyFont="1" applyFill="1" applyBorder="1"/>
    <xf numFmtId="0" fontId="6" fillId="0" borderId="0" xfId="0" applyFont="1" applyAlignment="1">
      <alignment horizontal="left" vertical="top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vertical="top" wrapText="1"/>
    </xf>
    <xf numFmtId="0" fontId="0" fillId="3" borderId="0" xfId="0" applyNumberFormat="1" applyFill="1"/>
    <xf numFmtId="0" fontId="2" fillId="3" borderId="0" xfId="0" applyNumberFormat="1" applyFont="1" applyFill="1" applyAlignment="1">
      <alignment horizontal="right"/>
    </xf>
    <xf numFmtId="0" fontId="2" fillId="4" borderId="15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0" fillId="5" borderId="0" xfId="0" applyFill="1"/>
    <xf numFmtId="0" fontId="2" fillId="0" borderId="0" xfId="0" applyFont="1" applyFill="1"/>
  </cellXfs>
  <cellStyles count="1">
    <cellStyle name="Обычный" xfId="0" builtinId="0"/>
  </cellStyles>
  <dxfs count="39"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16" fmlaLink="Лист1!$A$48" fmlaRange="Лист1!$D$49:$D$50" noThreeD="1" val="0"/>
</file>

<file path=xl/ctrlProps/ctrlProp10.xml><?xml version="1.0" encoding="utf-8"?>
<formControlPr xmlns="http://schemas.microsoft.com/office/spreadsheetml/2009/9/main" objectType="Drop" dropLines="10" dropStyle="combo" dx="16" fmlaLink="Лист1!$A$15" fmlaRange="Лист1!$D$15:$D$16" noThreeD="1" val="0"/>
</file>

<file path=xl/ctrlProps/ctrlProp2.xml><?xml version="1.0" encoding="utf-8"?>
<formControlPr xmlns="http://schemas.microsoft.com/office/spreadsheetml/2009/9/main" objectType="Drop" dropLines="10" dropStyle="combo" dx="16" fmlaLink="Лист1!$A$20" fmlaRange="Лист1!$D$20" noThreeD="1" val="0"/>
</file>

<file path=xl/ctrlProps/ctrlProp3.xml><?xml version="1.0" encoding="utf-8"?>
<formControlPr xmlns="http://schemas.microsoft.com/office/spreadsheetml/2009/9/main" objectType="Drop" dropLines="10" dropStyle="combo" dx="16" fmlaLink="Лист1!$A$23" fmlaRange="Лист1!$D$24:$D$25" noThreeD="1" sel="2" val="0"/>
</file>

<file path=xl/ctrlProps/ctrlProp4.xml><?xml version="1.0" encoding="utf-8"?>
<formControlPr xmlns="http://schemas.microsoft.com/office/spreadsheetml/2009/9/main" objectType="Drop" dropLines="10" dropStyle="combo" dx="16" fmlaLink="Лист1!$A$28" fmlaRange="Лист1!$D$29:$D$38" noThreeD="1" val="0"/>
</file>

<file path=xl/ctrlProps/ctrlProp5.xml><?xml version="1.0" encoding="utf-8"?>
<formControlPr xmlns="http://schemas.microsoft.com/office/spreadsheetml/2009/9/main" objectType="Drop" dropLines="10" dropStyle="combo" dx="16" fmlaLink="Лист1!$A$4" fmlaRange="Лист1!$D$5:$D$6" noThreeD="1" val="0"/>
</file>

<file path=xl/ctrlProps/ctrlProp6.xml><?xml version="1.0" encoding="utf-8"?>
<formControlPr xmlns="http://schemas.microsoft.com/office/spreadsheetml/2009/9/main" objectType="Drop" dropLines="10" dropStyle="combo" dx="16" fmlaLink="Лист1!$A$42" fmlaRange="Лист1!$D$42:$D$45" noThreeD="1" val="0"/>
</file>

<file path=xl/ctrlProps/ctrlProp7.xml><?xml version="1.0" encoding="utf-8"?>
<formControlPr xmlns="http://schemas.microsoft.com/office/spreadsheetml/2009/9/main" objectType="Drop" dropLines="10" dropStyle="combo" dx="16" fmlaLink="Лист1!$A$10" fmlaRange="Лист1!$D$10:$D$11" noThreeD="1" val="0"/>
</file>

<file path=xl/ctrlProps/ctrlProp8.xml><?xml version="1.0" encoding="utf-8"?>
<formControlPr xmlns="http://schemas.microsoft.com/office/spreadsheetml/2009/9/main" objectType="Drop" dropLines="10" dropStyle="combo" dx="16" fmlaLink="Лист1!$A$72" fmlaRange="Лист1!$D$72:$D$74" noThreeD="1" val="0"/>
</file>

<file path=xl/ctrlProps/ctrlProp9.xml><?xml version="1.0" encoding="utf-8"?>
<formControlPr xmlns="http://schemas.microsoft.com/office/spreadsheetml/2009/9/main" objectType="Drop" dropLines="10" dropStyle="combo" dx="16" fmlaLink="Лист1!$A$61" fmlaRange="Лист1!$D$61:$D$63" noThreeD="1" val="0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28575</xdr:rowOff>
        </xdr:from>
        <xdr:to>
          <xdr:col>5</xdr:col>
          <xdr:colOff>1647825</xdr:colOff>
          <xdr:row>9</xdr:row>
          <xdr:rowOff>285750</xdr:rowOff>
        </xdr:to>
        <xdr:sp macro="" textlink="">
          <xdr:nvSpPr>
            <xdr:cNvPr id="2093" name="TextBox7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5</xdr:col>
          <xdr:colOff>1609725</xdr:colOff>
          <xdr:row>14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16</xdr:row>
          <xdr:rowOff>57150</xdr:rowOff>
        </xdr:from>
        <xdr:to>
          <xdr:col>2</xdr:col>
          <xdr:colOff>2486025</xdr:colOff>
          <xdr:row>16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19</xdr:row>
          <xdr:rowOff>38100</xdr:rowOff>
        </xdr:from>
        <xdr:to>
          <xdr:col>5</xdr:col>
          <xdr:colOff>990600</xdr:colOff>
          <xdr:row>19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20</xdr:row>
          <xdr:rowOff>38100</xdr:rowOff>
        </xdr:from>
        <xdr:to>
          <xdr:col>5</xdr:col>
          <xdr:colOff>990600</xdr:colOff>
          <xdr:row>20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21</xdr:row>
          <xdr:rowOff>38100</xdr:rowOff>
        </xdr:from>
        <xdr:to>
          <xdr:col>5</xdr:col>
          <xdr:colOff>990600</xdr:colOff>
          <xdr:row>21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22</xdr:row>
          <xdr:rowOff>38100</xdr:rowOff>
        </xdr:from>
        <xdr:to>
          <xdr:col>5</xdr:col>
          <xdr:colOff>990600</xdr:colOff>
          <xdr:row>22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19050</xdr:rowOff>
        </xdr:from>
        <xdr:to>
          <xdr:col>3</xdr:col>
          <xdr:colOff>2857500</xdr:colOff>
          <xdr:row>10</xdr:row>
          <xdr:rowOff>276225</xdr:rowOff>
        </xdr:to>
        <xdr:sp macro="" textlink="">
          <xdr:nvSpPr>
            <xdr:cNvPr id="2151" name="Drop Dow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28575</xdr:rowOff>
        </xdr:from>
        <xdr:to>
          <xdr:col>3</xdr:col>
          <xdr:colOff>2847975</xdr:colOff>
          <xdr:row>6</xdr:row>
          <xdr:rowOff>295275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28575</xdr:rowOff>
        </xdr:from>
        <xdr:to>
          <xdr:col>3</xdr:col>
          <xdr:colOff>2847975</xdr:colOff>
          <xdr:row>7</xdr:row>
          <xdr:rowOff>285750</xdr:rowOff>
        </xdr:to>
        <xdr:sp macro="" textlink="">
          <xdr:nvSpPr>
            <xdr:cNvPr id="2154" name="Drop Dow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28575</xdr:rowOff>
        </xdr:from>
        <xdr:to>
          <xdr:col>3</xdr:col>
          <xdr:colOff>2847975</xdr:colOff>
          <xdr:row>8</xdr:row>
          <xdr:rowOff>285750</xdr:rowOff>
        </xdr:to>
        <xdr:sp macro="" textlink="">
          <xdr:nvSpPr>
            <xdr:cNvPr id="2156" name="Drop Dow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47625</xdr:rowOff>
        </xdr:from>
        <xdr:to>
          <xdr:col>3</xdr:col>
          <xdr:colOff>2857500</xdr:colOff>
          <xdr:row>2</xdr:row>
          <xdr:rowOff>304800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3</xdr:col>
          <xdr:colOff>2847975</xdr:colOff>
          <xdr:row>9</xdr:row>
          <xdr:rowOff>266700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28575</xdr:rowOff>
        </xdr:from>
        <xdr:to>
          <xdr:col>3</xdr:col>
          <xdr:colOff>2847975</xdr:colOff>
          <xdr:row>3</xdr:row>
          <xdr:rowOff>295275</xdr:rowOff>
        </xdr:to>
        <xdr:sp macro="" textlink="">
          <xdr:nvSpPr>
            <xdr:cNvPr id="2163" name="Drop Dow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19050</xdr:rowOff>
        </xdr:from>
        <xdr:to>
          <xdr:col>3</xdr:col>
          <xdr:colOff>2847975</xdr:colOff>
          <xdr:row>12</xdr:row>
          <xdr:rowOff>285750</xdr:rowOff>
        </xdr:to>
        <xdr:sp macro="" textlink="">
          <xdr:nvSpPr>
            <xdr:cNvPr id="2164" name="Drop Dow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19050</xdr:rowOff>
        </xdr:from>
        <xdr:to>
          <xdr:col>5</xdr:col>
          <xdr:colOff>1619250</xdr:colOff>
          <xdr:row>12</xdr:row>
          <xdr:rowOff>276225</xdr:rowOff>
        </xdr:to>
        <xdr:sp macro="" textlink="">
          <xdr:nvSpPr>
            <xdr:cNvPr id="2165" name="TextBox1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28575</xdr:rowOff>
        </xdr:from>
        <xdr:to>
          <xdr:col>3</xdr:col>
          <xdr:colOff>2847975</xdr:colOff>
          <xdr:row>11</xdr:row>
          <xdr:rowOff>295275</xdr:rowOff>
        </xdr:to>
        <xdr:sp macro="" textlink="">
          <xdr:nvSpPr>
            <xdr:cNvPr id="2166" name="Drop Dow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28575</xdr:rowOff>
        </xdr:from>
        <xdr:to>
          <xdr:col>3</xdr:col>
          <xdr:colOff>2847975</xdr:colOff>
          <xdr:row>4</xdr:row>
          <xdr:rowOff>295275</xdr:rowOff>
        </xdr:to>
        <xdr:sp macro="" textlink="">
          <xdr:nvSpPr>
            <xdr:cNvPr id="2167" name="Drop Dow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Справка"/>
      <sheetName val="Лист1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а2" displayName="Таблица2" ref="D4:E6" totalsRowShown="0" headerRowDxfId="38" dataDxfId="37">
  <autoFilter ref="D4:E6"/>
  <tableColumns count="2">
    <tableColumn id="1" name="Столбец1" dataDxfId="36"/>
    <tableColumn id="2" name="Столбец2" dataDxfId="35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" name="Таблица92" displayName="Таблица92" ref="D14:E16" totalsRowShown="0" headerRowDxfId="2">
  <autoFilter ref="D14:E16"/>
  <tableColumns count="2">
    <tableColumn id="1" name="Столбец1" dataDxfId="1">
      <calculatedColumnFormula>OFFSET(F15,0,$A$4-1,,)</calculatedColumnFormula>
    </tableColumn>
    <tableColumn id="2" name="Столбец2" dataDxfId="0">
      <calculatedColumnFormula>OFFSET(H15,0,$A$4-1,,)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D28:E38" totalsRowShown="0" headerRowDxfId="34">
  <autoFilter ref="D28:E38"/>
  <tableColumns count="2">
    <tableColumn id="1" name="Столбец1" dataDxfId="33">
      <calculatedColumnFormula>OFFSET(F29,0,$A$4-1,,)</calculatedColumnFormula>
    </tableColumn>
    <tableColumn id="2" name="Столбец3" dataDxfId="32">
      <calculatedColumnFormula>OFFSET(H29,0,$A$4-1,,)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D23:E25" totalsRowShown="0" headerRowDxfId="31" dataDxfId="30">
  <autoFilter ref="D23:E25"/>
  <tableColumns count="2">
    <tableColumn id="1" name="Столбец1" dataDxfId="29">
      <calculatedColumnFormula>OFFSET(F24,0,$A$4-1,,)</calculatedColumnFormula>
    </tableColumn>
    <tableColumn id="2" name="Столбец2" dataDxfId="28">
      <calculatedColumnFormula>OFFSET(H24,0,$A$4-1,,)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41:E45" totalsRowShown="0" headerRowDxfId="27" dataDxfId="26">
  <autoFilter ref="D41:E45"/>
  <tableColumns count="2">
    <tableColumn id="1" name="Столбец1" dataDxfId="25">
      <calculatedColumnFormula>OFFSET(F42,0,$A$4-1,,)</calculatedColumnFormula>
    </tableColumn>
    <tableColumn id="2" name="Столбец3" dataDxfId="24">
      <calculatedColumnFormula>OFFSET(H42,0,$A$4-1,,)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Таблица7" displayName="Таблица7" ref="D48:E51" totalsRowShown="0" headerRowDxfId="23" dataDxfId="22">
  <autoFilter ref="D48:E51"/>
  <tableColumns count="2">
    <tableColumn id="1" name="Столбец1" dataDxfId="21"/>
    <tableColumn id="2" name="Столбец2" dataDxfId="2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Таблица8" displayName="Таблица8" ref="D60:E63" totalsRowShown="0" headerRowDxfId="19" dataDxfId="18" tableBorderDxfId="17">
  <autoFilter ref="D60:E63"/>
  <tableColumns count="2">
    <tableColumn id="1" name="Столбец1" dataDxfId="16">
      <calculatedColumnFormula>OFFSET(F61,0,$A$4-1,,)</calculatedColumnFormula>
    </tableColumn>
    <tableColumn id="2" name="Столбец2" dataDxfId="15">
      <calculatedColumnFormula>OFFSET(H61,0,$A$4-1,,)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Таблица9" displayName="Таблица9" ref="D9:E11" totalsRowShown="0" headerRowDxfId="14">
  <autoFilter ref="D9:E11"/>
  <tableColumns count="2">
    <tableColumn id="1" name="Столбец1" dataDxfId="13">
      <calculatedColumnFormula>OFFSET(F10,0,$A$4-1,,)</calculatedColumnFormula>
    </tableColumn>
    <tableColumn id="2" name="Столбец2" dataDxfId="12">
      <calculatedColumnFormula>OFFSET(H10,0,$A$4-1,,)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Таблица10" displayName="Таблица10" ref="D71:E74" totalsRowShown="0" headerRowDxfId="11" dataDxfId="10" tableBorderDxfId="9">
  <autoFilter ref="D71:E74"/>
  <tableColumns count="2">
    <tableColumn id="1" name="Столбец1" dataDxfId="8">
      <calculatedColumnFormula>OFFSET(F72,0,$A$4-1,,)</calculatedColumnFormula>
    </tableColumn>
    <tableColumn id="2" name="Столбец2" dataDxfId="7">
      <calculatedColumnFormula>OFFSET(H72,0,$A$4-1,,)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6" name="Таблица6" displayName="Таблица6" ref="D54:E57" totalsRowShown="0" headerRowDxfId="6" dataDxfId="5">
  <autoFilter ref="D54:E57"/>
  <tableColumns count="2">
    <tableColumn id="1" name="Столбец1" dataDxfId="4"/>
    <tableColumn id="2" name="Столбец2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2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1.xml"/><Relationship Id="rId29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4.xml"/><Relationship Id="rId28" Type="http://schemas.openxmlformats.org/officeDocument/2006/relationships/ctrlProp" Target="../ctrlProps/ctrlProp9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3.xml"/><Relationship Id="rId27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32"/>
  <sheetViews>
    <sheetView tabSelected="1" zoomScaleNormal="100" workbookViewId="0">
      <selection activeCell="F37" sqref="F37"/>
    </sheetView>
  </sheetViews>
  <sheetFormatPr defaultRowHeight="15.75" x14ac:dyDescent="0.25"/>
  <cols>
    <col min="1" max="1" width="1.5703125" style="1" customWidth="1"/>
    <col min="2" max="2" width="3.28515625" style="1" customWidth="1"/>
    <col min="3" max="3" width="51.28515625" style="1" customWidth="1"/>
    <col min="4" max="4" width="43.28515625" style="1" customWidth="1"/>
    <col min="5" max="5" width="2.5703125" style="1" customWidth="1"/>
    <col min="6" max="6" width="24.85546875" style="1" customWidth="1"/>
    <col min="7" max="7" width="4.140625" style="68" customWidth="1"/>
    <col min="8" max="10" width="12.140625" style="1" customWidth="1"/>
    <col min="11" max="11" width="19.28515625" style="1" customWidth="1"/>
    <col min="12" max="16384" width="9.140625" style="1"/>
  </cols>
  <sheetData>
    <row r="1" spans="1:6" ht="46.5" customHeight="1" x14ac:dyDescent="0.25">
      <c r="A1" s="57"/>
      <c r="B1" s="57"/>
      <c r="C1" s="67" t="s">
        <v>14</v>
      </c>
      <c r="D1" s="57"/>
      <c r="E1" s="57"/>
      <c r="F1" s="58" t="s">
        <v>8</v>
      </c>
    </row>
    <row r="2" spans="1:6" ht="18" customHeight="1" x14ac:dyDescent="0.25">
      <c r="A2" s="57"/>
      <c r="B2" s="57"/>
      <c r="C2" s="57"/>
      <c r="D2" s="57"/>
      <c r="E2" s="57"/>
      <c r="F2" s="58"/>
    </row>
    <row r="3" spans="1:6" ht="26.25" customHeight="1" x14ac:dyDescent="0.25">
      <c r="A3" s="57"/>
      <c r="B3" s="57" t="s">
        <v>18</v>
      </c>
      <c r="C3" s="57"/>
      <c r="D3" s="57"/>
      <c r="E3" s="57"/>
      <c r="F3" s="58"/>
    </row>
    <row r="4" spans="1:6" ht="26.25" customHeight="1" x14ac:dyDescent="0.25">
      <c r="A4" s="57"/>
      <c r="C4" s="59" t="str">
        <f>IF(Лист1!A4=1,"Блок питания 220В/24В ""Автон""","")</f>
        <v>Блок питания 220В/24В "Автон"</v>
      </c>
      <c r="D4" s="57"/>
      <c r="E4" s="57"/>
      <c r="F4" s="61"/>
    </row>
    <row r="5" spans="1:6" ht="26.25" customHeight="1" x14ac:dyDescent="0.25">
      <c r="A5" s="57"/>
      <c r="B5" s="59"/>
      <c r="C5" s="57" t="str">
        <f>IF(Лист1!A4=1,"Разъём для подключения к блоку питания ""Автон""","")</f>
        <v>Разъём для подключения к блоку питания "Автон"</v>
      </c>
      <c r="D5" s="57"/>
      <c r="E5" s="57"/>
      <c r="F5" s="61"/>
    </row>
    <row r="6" spans="1:6" ht="23.25" customHeight="1" x14ac:dyDescent="0.25">
      <c r="A6" s="57"/>
      <c r="B6" s="59" t="s">
        <v>23</v>
      </c>
      <c r="C6" s="57"/>
      <c r="D6" s="57"/>
      <c r="E6" s="57"/>
      <c r="F6" s="61"/>
    </row>
    <row r="7" spans="1:6" ht="25.5" customHeight="1" x14ac:dyDescent="0.25">
      <c r="A7" s="57"/>
      <c r="B7" s="59"/>
      <c r="C7" s="60" t="s">
        <v>16</v>
      </c>
      <c r="D7" s="57"/>
      <c r="E7" s="57"/>
      <c r="F7" s="61"/>
    </row>
    <row r="8" spans="1:6" ht="26.25" customHeight="1" x14ac:dyDescent="0.25">
      <c r="A8" s="57"/>
      <c r="B8" s="59"/>
      <c r="C8" s="60" t="str">
        <f>IF(Лист1!A4=1,"RS-485","")</f>
        <v>RS-485</v>
      </c>
      <c r="D8" s="57"/>
      <c r="E8" s="57"/>
      <c r="F8" s="61"/>
    </row>
    <row r="9" spans="1:6" ht="26.25" customHeight="1" x14ac:dyDescent="0.25">
      <c r="A9" s="57"/>
      <c r="B9" s="59"/>
      <c r="C9" s="60" t="str">
        <f>IF(Лист1!A4=1,"Цифровые и аналоговые входы/выходы","")</f>
        <v>Цифровые и аналоговые входы/выходы</v>
      </c>
      <c r="D9" s="57"/>
      <c r="E9" s="57"/>
      <c r="F9" s="61"/>
    </row>
    <row r="10" spans="1:6" ht="24" customHeight="1" x14ac:dyDescent="0.25">
      <c r="A10" s="57"/>
      <c r="B10" s="59" t="str">
        <f>IF(Лист1!A4=1,"Длина кабеля, м","")</f>
        <v>Длина кабеля, м</v>
      </c>
      <c r="C10" s="57"/>
      <c r="D10" s="57" t="s">
        <v>13</v>
      </c>
      <c r="E10" s="57"/>
      <c r="F10" s="61" t="s">
        <v>13</v>
      </c>
    </row>
    <row r="11" spans="1:6" ht="24.75" customHeight="1" x14ac:dyDescent="0.25">
      <c r="A11" s="57"/>
      <c r="B11" s="62" t="s">
        <v>41</v>
      </c>
      <c r="C11" s="57"/>
      <c r="D11" s="57"/>
      <c r="E11" s="57"/>
      <c r="F11" s="61" t="s">
        <v>13</v>
      </c>
    </row>
    <row r="12" spans="1:6" ht="24.75" customHeight="1" x14ac:dyDescent="0.25">
      <c r="A12" s="57"/>
      <c r="B12" s="59" t="str">
        <f>IF(Лист1!A4=1,"Монтажная (распаячная) коробка","")</f>
        <v>Монтажная (распаячная) коробка</v>
      </c>
      <c r="C12" s="57"/>
      <c r="D12" s="57"/>
      <c r="E12" s="57"/>
      <c r="F12" s="61"/>
    </row>
    <row r="13" spans="1:6" ht="24" customHeight="1" x14ac:dyDescent="0.25">
      <c r="A13" s="57"/>
      <c r="B13" s="59" t="s">
        <v>21</v>
      </c>
      <c r="C13" s="57"/>
      <c r="D13" s="57"/>
      <c r="E13" s="57"/>
      <c r="F13" s="61" t="s">
        <v>13</v>
      </c>
    </row>
    <row r="14" spans="1:6" ht="8.25" customHeight="1" x14ac:dyDescent="0.25">
      <c r="A14" s="57"/>
      <c r="B14" s="57"/>
      <c r="C14" s="57"/>
      <c r="D14" s="57"/>
      <c r="E14" s="57"/>
      <c r="F14" s="61"/>
    </row>
    <row r="15" spans="1:6" ht="64.5" customHeight="1" x14ac:dyDescent="0.25">
      <c r="A15" s="57"/>
      <c r="B15" s="63" t="s">
        <v>7</v>
      </c>
      <c r="C15" s="57"/>
      <c r="D15" s="61" t="s">
        <v>13</v>
      </c>
      <c r="E15" s="57"/>
      <c r="F15" s="61"/>
    </row>
    <row r="16" spans="1:6" ht="10.5" customHeight="1" x14ac:dyDescent="0.25">
      <c r="A16" s="57"/>
      <c r="B16" s="57"/>
      <c r="C16" s="57"/>
      <c r="D16" s="57"/>
      <c r="E16" s="57"/>
      <c r="F16" s="57"/>
    </row>
    <row r="17" spans="1:6" ht="25.5" customHeight="1" x14ac:dyDescent="0.25">
      <c r="A17" s="57"/>
      <c r="B17" s="57" t="s">
        <v>6</v>
      </c>
      <c r="C17" s="57"/>
      <c r="D17" s="61" t="s">
        <v>13</v>
      </c>
      <c r="E17" s="57"/>
      <c r="F17" s="57"/>
    </row>
    <row r="18" spans="1:6" x14ac:dyDescent="0.25">
      <c r="A18" s="57"/>
      <c r="B18" s="57"/>
      <c r="C18" s="57"/>
      <c r="D18" s="61"/>
      <c r="E18" s="57"/>
      <c r="F18" s="57"/>
    </row>
    <row r="19" spans="1:6" x14ac:dyDescent="0.25">
      <c r="A19" s="57"/>
      <c r="B19" s="57" t="s">
        <v>0</v>
      </c>
      <c r="C19" s="57"/>
      <c r="D19" s="61"/>
      <c r="E19" s="57"/>
      <c r="F19" s="57"/>
    </row>
    <row r="20" spans="1:6" ht="24.95" customHeight="1" x14ac:dyDescent="0.25">
      <c r="A20" s="57"/>
      <c r="B20" s="57"/>
      <c r="C20" s="57" t="s">
        <v>1</v>
      </c>
      <c r="D20" s="69" t="s">
        <v>13</v>
      </c>
      <c r="E20" s="70"/>
      <c r="F20" s="57"/>
    </row>
    <row r="21" spans="1:6" ht="24.95" customHeight="1" x14ac:dyDescent="0.25">
      <c r="A21" s="57"/>
      <c r="B21" s="57"/>
      <c r="C21" s="57" t="s">
        <v>2</v>
      </c>
      <c r="D21" s="69" t="s">
        <v>13</v>
      </c>
      <c r="E21" s="70"/>
      <c r="F21" s="57"/>
    </row>
    <row r="22" spans="1:6" ht="24.95" customHeight="1" x14ac:dyDescent="0.25">
      <c r="A22" s="57"/>
      <c r="B22" s="57"/>
      <c r="C22" s="57" t="s">
        <v>3</v>
      </c>
      <c r="D22" s="69" t="s">
        <v>13</v>
      </c>
      <c r="E22" s="70"/>
      <c r="F22" s="57"/>
    </row>
    <row r="23" spans="1:6" ht="24.95" customHeight="1" x14ac:dyDescent="0.25">
      <c r="A23" s="57"/>
      <c r="B23" s="57"/>
      <c r="C23" s="57" t="s">
        <v>4</v>
      </c>
      <c r="D23" s="69" t="s">
        <v>13</v>
      </c>
      <c r="E23" s="70"/>
      <c r="F23" s="57"/>
    </row>
    <row r="24" spans="1:6" ht="19.5" customHeight="1" x14ac:dyDescent="0.25">
      <c r="A24" s="64"/>
      <c r="B24" s="64"/>
      <c r="C24" s="64"/>
      <c r="D24" s="71"/>
      <c r="E24" s="72"/>
      <c r="F24" s="57"/>
    </row>
    <row r="25" spans="1:6" s="68" customFormat="1" ht="4.5" customHeight="1" x14ac:dyDescent="0.25">
      <c r="A25" s="65"/>
      <c r="B25" s="65"/>
      <c r="C25" s="65"/>
      <c r="D25" s="65"/>
      <c r="E25" s="65"/>
      <c r="F25" s="73"/>
    </row>
    <row r="26" spans="1:6" ht="14.25" customHeight="1" x14ac:dyDescent="0.25">
      <c r="A26" s="65"/>
      <c r="B26" s="65" t="s">
        <v>9</v>
      </c>
      <c r="C26" s="65"/>
      <c r="D26" s="65"/>
      <c r="E26" s="65"/>
      <c r="F26" s="73"/>
    </row>
    <row r="27" spans="1:6" ht="17.25" customHeight="1" x14ac:dyDescent="0.25">
      <c r="A27" s="65"/>
      <c r="B27" s="65"/>
      <c r="C27" s="86" t="str">
        <f ca="1">Лист1!B78</f>
        <v>Шлюз "Автон" (1м, LoRa)</v>
      </c>
      <c r="D27" s="86"/>
      <c r="E27" s="65"/>
      <c r="F27" s="73"/>
    </row>
    <row r="28" spans="1:6" ht="17.25" customHeight="1" x14ac:dyDescent="0.25">
      <c r="A28" s="65"/>
      <c r="B28" s="65" t="s">
        <v>22</v>
      </c>
      <c r="C28" s="74"/>
      <c r="D28" s="74"/>
      <c r="E28" s="65"/>
      <c r="F28" s="73"/>
    </row>
    <row r="29" spans="1:6" ht="87" customHeight="1" x14ac:dyDescent="0.25">
      <c r="A29" s="65"/>
      <c r="B29" s="66"/>
      <c r="C29" s="84" t="str">
        <f ca="1">Лист1!B80</f>
        <v/>
      </c>
      <c r="D29" s="85"/>
      <c r="E29" s="75"/>
      <c r="F29" s="73"/>
    </row>
    <row r="30" spans="1:6" x14ac:dyDescent="0.25">
      <c r="A30" s="65"/>
      <c r="B30" s="65" t="s">
        <v>7</v>
      </c>
      <c r="C30" s="76"/>
      <c r="D30" s="76"/>
      <c r="E30" s="65"/>
      <c r="F30" s="73"/>
    </row>
    <row r="31" spans="1:6" ht="65.25" customHeight="1" x14ac:dyDescent="0.25">
      <c r="A31" s="65"/>
      <c r="B31" s="65"/>
      <c r="C31" s="83" t="str">
        <f>D15</f>
        <v/>
      </c>
      <c r="D31" s="83"/>
      <c r="E31" s="65"/>
      <c r="F31" s="73"/>
    </row>
    <row r="32" spans="1:6" ht="9" customHeight="1" x14ac:dyDescent="0.25">
      <c r="A32" s="65"/>
      <c r="B32" s="65"/>
      <c r="C32" s="65"/>
      <c r="D32" s="65"/>
      <c r="E32" s="65"/>
      <c r="F32" s="73"/>
    </row>
  </sheetData>
  <mergeCells count="3">
    <mergeCell ref="C31:D31"/>
    <mergeCell ref="C29:D29"/>
    <mergeCell ref="C27:D27"/>
  </mergeCells>
  <pageMargins left="0.55000000000000004" right="0.28999999999999998" top="0.62" bottom="0.27559055118110237" header="0.19685039370078741" footer="0.23622047244094491"/>
  <pageSetup paperSize="9" scale="76" orientation="portrait" r:id="rId1"/>
  <rowBreaks count="1" manualBreakCount="1">
    <brk id="16" max="5" man="1"/>
  </rowBreaks>
  <drawing r:id="rId2"/>
  <legacyDrawing r:id="rId3"/>
  <controls>
    <mc:AlternateContent xmlns:mc="http://schemas.openxmlformats.org/markup-compatibility/2006">
      <mc:Choice Requires="x14">
        <control shapeId="2165" r:id="rId4" name="TextBox1">
          <controlPr defaultSize="0" autoLine="0" linkedCell="F13" r:id="rId5">
            <anchor moveWithCells="1">
              <from>
                <xdr:col>5</xdr:col>
                <xdr:colOff>28575</xdr:colOff>
                <xdr:row>12</xdr:row>
                <xdr:rowOff>19050</xdr:rowOff>
              </from>
              <to>
                <xdr:col>5</xdr:col>
                <xdr:colOff>1619250</xdr:colOff>
                <xdr:row>12</xdr:row>
                <xdr:rowOff>276225</xdr:rowOff>
              </to>
            </anchor>
          </controlPr>
        </control>
      </mc:Choice>
      <mc:Fallback>
        <control shapeId="2165" r:id="rId4" name="TextBox1"/>
      </mc:Fallback>
    </mc:AlternateContent>
    <mc:AlternateContent xmlns:mc="http://schemas.openxmlformats.org/markup-compatibility/2006">
      <mc:Choice Requires="x14">
        <control shapeId="2098" r:id="rId6" name="TextBox12">
          <controlPr defaultSize="0" autoLine="0" linkedCell="D15" r:id="rId7">
            <anchor moveWithCells="1">
              <from>
                <xdr:col>3</xdr:col>
                <xdr:colOff>9525</xdr:colOff>
                <xdr:row>14</xdr:row>
                <xdr:rowOff>9525</xdr:rowOff>
              </from>
              <to>
                <xdr:col>5</xdr:col>
                <xdr:colOff>1609725</xdr:colOff>
                <xdr:row>14</xdr:row>
                <xdr:rowOff>790575</xdr:rowOff>
              </to>
            </anchor>
          </controlPr>
        </control>
      </mc:Choice>
      <mc:Fallback>
        <control shapeId="2098" r:id="rId6" name="TextBox12"/>
      </mc:Fallback>
    </mc:AlternateContent>
    <mc:AlternateContent xmlns:mc="http://schemas.openxmlformats.org/markup-compatibility/2006">
      <mc:Choice Requires="x14">
        <control shapeId="2093" r:id="rId8" name="TextBox7">
          <controlPr defaultSize="0" autoLine="0" linkedCell="F10" r:id="rId9">
            <anchor moveWithCells="1">
              <from>
                <xdr:col>5</xdr:col>
                <xdr:colOff>28575</xdr:colOff>
                <xdr:row>9</xdr:row>
                <xdr:rowOff>28575</xdr:rowOff>
              </from>
              <to>
                <xdr:col>5</xdr:col>
                <xdr:colOff>1647825</xdr:colOff>
                <xdr:row>9</xdr:row>
                <xdr:rowOff>285750</xdr:rowOff>
              </to>
            </anchor>
          </controlPr>
        </control>
      </mc:Choice>
      <mc:Fallback>
        <control shapeId="2093" r:id="rId8" name="TextBox7"/>
      </mc:Fallback>
    </mc:AlternateContent>
    <mc:AlternateContent xmlns:mc="http://schemas.openxmlformats.org/markup-compatibility/2006">
      <mc:Choice Requires="x14">
        <control shapeId="2099" r:id="rId10" name="TextBox13">
          <controlPr defaultSize="0" autoLine="0" linkedCell="D17" r:id="rId11">
            <anchor moveWithCells="1">
              <from>
                <xdr:col>2</xdr:col>
                <xdr:colOff>1057275</xdr:colOff>
                <xdr:row>16</xdr:row>
                <xdr:rowOff>57150</xdr:rowOff>
              </from>
              <to>
                <xdr:col>2</xdr:col>
                <xdr:colOff>2486025</xdr:colOff>
                <xdr:row>16</xdr:row>
                <xdr:rowOff>314325</xdr:rowOff>
              </to>
            </anchor>
          </controlPr>
        </control>
      </mc:Choice>
      <mc:Fallback>
        <control shapeId="2099" r:id="rId10" name="TextBox13"/>
      </mc:Fallback>
    </mc:AlternateContent>
    <mc:AlternateContent xmlns:mc="http://schemas.openxmlformats.org/markup-compatibility/2006">
      <mc:Choice Requires="x14">
        <control shapeId="2100" r:id="rId12" name="TextBox14">
          <controlPr defaultSize="0" autoLine="0" linkedCell="D20" r:id="rId13">
            <anchor moveWithCells="1">
              <from>
                <xdr:col>2</xdr:col>
                <xdr:colOff>1876425</xdr:colOff>
                <xdr:row>19</xdr:row>
                <xdr:rowOff>38100</xdr:rowOff>
              </from>
              <to>
                <xdr:col>5</xdr:col>
                <xdr:colOff>990600</xdr:colOff>
                <xdr:row>19</xdr:row>
                <xdr:rowOff>295275</xdr:rowOff>
              </to>
            </anchor>
          </controlPr>
        </control>
      </mc:Choice>
      <mc:Fallback>
        <control shapeId="2100" r:id="rId12" name="TextBox14"/>
      </mc:Fallback>
    </mc:AlternateContent>
    <mc:AlternateContent xmlns:mc="http://schemas.openxmlformats.org/markup-compatibility/2006">
      <mc:Choice Requires="x14">
        <control shapeId="2101" r:id="rId14" name="TextBox15">
          <controlPr defaultSize="0" autoLine="0" linkedCell="D21" r:id="rId15">
            <anchor moveWithCells="1">
              <from>
                <xdr:col>2</xdr:col>
                <xdr:colOff>857250</xdr:colOff>
                <xdr:row>20</xdr:row>
                <xdr:rowOff>38100</xdr:rowOff>
              </from>
              <to>
                <xdr:col>5</xdr:col>
                <xdr:colOff>990600</xdr:colOff>
                <xdr:row>20</xdr:row>
                <xdr:rowOff>295275</xdr:rowOff>
              </to>
            </anchor>
          </controlPr>
        </control>
      </mc:Choice>
      <mc:Fallback>
        <control shapeId="2101" r:id="rId14" name="TextBox15"/>
      </mc:Fallback>
    </mc:AlternateContent>
    <mc:AlternateContent xmlns:mc="http://schemas.openxmlformats.org/markup-compatibility/2006">
      <mc:Choice Requires="x14">
        <control shapeId="2102" r:id="rId16" name="TextBox16">
          <controlPr defaultSize="0" autoLine="0" linkedCell="D22" r:id="rId17">
            <anchor moveWithCells="1">
              <from>
                <xdr:col>2</xdr:col>
                <xdr:colOff>1238250</xdr:colOff>
                <xdr:row>21</xdr:row>
                <xdr:rowOff>38100</xdr:rowOff>
              </from>
              <to>
                <xdr:col>5</xdr:col>
                <xdr:colOff>990600</xdr:colOff>
                <xdr:row>21</xdr:row>
                <xdr:rowOff>295275</xdr:rowOff>
              </to>
            </anchor>
          </controlPr>
        </control>
      </mc:Choice>
      <mc:Fallback>
        <control shapeId="2102" r:id="rId16" name="TextBox16"/>
      </mc:Fallback>
    </mc:AlternateContent>
    <mc:AlternateContent xmlns:mc="http://schemas.openxmlformats.org/markup-compatibility/2006">
      <mc:Choice Requires="x14">
        <control shapeId="2103" r:id="rId18" name="TextBox17">
          <controlPr defaultSize="0" autoLine="0" linkedCell="D23" r:id="rId19">
            <anchor moveWithCells="1">
              <from>
                <xdr:col>2</xdr:col>
                <xdr:colOff>1228725</xdr:colOff>
                <xdr:row>22</xdr:row>
                <xdr:rowOff>38100</xdr:rowOff>
              </from>
              <to>
                <xdr:col>5</xdr:col>
                <xdr:colOff>990600</xdr:colOff>
                <xdr:row>22</xdr:row>
                <xdr:rowOff>295275</xdr:rowOff>
              </to>
            </anchor>
          </controlPr>
        </control>
      </mc:Choice>
      <mc:Fallback>
        <control shapeId="2103" r:id="rId18" name="TextBox17"/>
      </mc:Fallback>
    </mc:AlternateContent>
    <mc:AlternateContent xmlns:mc="http://schemas.openxmlformats.org/markup-compatibility/2006">
      <mc:Choice Requires="x14">
        <control shapeId="2151" r:id="rId20" name="Drop Down 103">
          <controlPr defaultSize="0" autoLine="0" autoPict="0">
            <anchor moveWithCells="1">
              <from>
                <xdr:col>3</xdr:col>
                <xdr:colOff>19050</xdr:colOff>
                <xdr:row>10</xdr:row>
                <xdr:rowOff>19050</xdr:rowOff>
              </from>
              <to>
                <xdr:col>3</xdr:col>
                <xdr:colOff>2857500</xdr:colOff>
                <xdr:row>10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3" r:id="rId21" name="Drop Down 105">
          <controlPr defaultSize="0" autoLine="0" autoPict="0">
            <anchor moveWithCells="1">
              <from>
                <xdr:col>3</xdr:col>
                <xdr:colOff>19050</xdr:colOff>
                <xdr:row>6</xdr:row>
                <xdr:rowOff>28575</xdr:rowOff>
              </from>
              <to>
                <xdr:col>3</xdr:col>
                <xdr:colOff>2847975</xdr:colOff>
                <xdr:row>6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4" r:id="rId22" name="Drop Down 106">
          <controlPr defaultSize="0" autoLine="0" autoPict="0">
            <anchor moveWithCells="1">
              <from>
                <xdr:col>3</xdr:col>
                <xdr:colOff>19050</xdr:colOff>
                <xdr:row>7</xdr:row>
                <xdr:rowOff>28575</xdr:rowOff>
              </from>
              <to>
                <xdr:col>3</xdr:col>
                <xdr:colOff>2847975</xdr:colOff>
                <xdr:row>7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6" r:id="rId23" name="Drop Down 108">
          <controlPr defaultSize="0" autoLine="0" autoPict="0">
            <anchor moveWithCells="1">
              <from>
                <xdr:col>3</xdr:col>
                <xdr:colOff>19050</xdr:colOff>
                <xdr:row>8</xdr:row>
                <xdr:rowOff>28575</xdr:rowOff>
              </from>
              <to>
                <xdr:col>3</xdr:col>
                <xdr:colOff>2847975</xdr:colOff>
                <xdr:row>8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9" r:id="rId24" name="Drop Down 111">
          <controlPr defaultSize="0" autoLine="0" autoPict="0">
            <anchor moveWithCells="1">
              <from>
                <xdr:col>3</xdr:col>
                <xdr:colOff>19050</xdr:colOff>
                <xdr:row>2</xdr:row>
                <xdr:rowOff>47625</xdr:rowOff>
              </from>
              <to>
                <xdr:col>3</xdr:col>
                <xdr:colOff>2857500</xdr:colOff>
                <xdr:row>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2" r:id="rId25" name="Drop Down 114">
          <controlPr defaultSize="0" autoLine="0" autoPict="0">
            <anchor moveWithCells="1">
              <from>
                <xdr:col>3</xdr:col>
                <xdr:colOff>19050</xdr:colOff>
                <xdr:row>9</xdr:row>
                <xdr:rowOff>9525</xdr:rowOff>
              </from>
              <to>
                <xdr:col>3</xdr:col>
                <xdr:colOff>2847975</xdr:colOff>
                <xdr:row>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3" r:id="rId26" name="Drop Down 115">
          <controlPr defaultSize="0" autoLine="0" autoPict="0">
            <anchor moveWithCells="1">
              <from>
                <xdr:col>3</xdr:col>
                <xdr:colOff>19050</xdr:colOff>
                <xdr:row>3</xdr:row>
                <xdr:rowOff>28575</xdr:rowOff>
              </from>
              <to>
                <xdr:col>3</xdr:col>
                <xdr:colOff>2847975</xdr:colOff>
                <xdr:row>3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4" r:id="rId27" name="Drop Down 116">
          <controlPr defaultSize="0" autoLine="0" autoPict="0">
            <anchor moveWithCells="1">
              <from>
                <xdr:col>3</xdr:col>
                <xdr:colOff>19050</xdr:colOff>
                <xdr:row>12</xdr:row>
                <xdr:rowOff>19050</xdr:rowOff>
              </from>
              <to>
                <xdr:col>3</xdr:col>
                <xdr:colOff>2847975</xdr:colOff>
                <xdr:row>12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6" r:id="rId28" name="Drop Down 118">
          <controlPr defaultSize="0" autoLine="0" autoPict="0">
            <anchor moveWithCells="1">
              <from>
                <xdr:col>3</xdr:col>
                <xdr:colOff>19050</xdr:colOff>
                <xdr:row>11</xdr:row>
                <xdr:rowOff>28575</xdr:rowOff>
              </from>
              <to>
                <xdr:col>3</xdr:col>
                <xdr:colOff>2847975</xdr:colOff>
                <xdr:row>11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7" r:id="rId29" name="Drop Down 119">
          <controlPr defaultSize="0" autoLine="0" autoPict="0">
            <anchor moveWithCells="1">
              <from>
                <xdr:col>3</xdr:col>
                <xdr:colOff>19050</xdr:colOff>
                <xdr:row>4</xdr:row>
                <xdr:rowOff>28575</xdr:rowOff>
              </from>
              <to>
                <xdr:col>3</xdr:col>
                <xdr:colOff>2847975</xdr:colOff>
                <xdr:row>4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M111"/>
  <sheetViews>
    <sheetView topLeftCell="A34" zoomScaleNormal="100" workbookViewId="0">
      <selection activeCell="D80" sqref="D80"/>
    </sheetView>
  </sheetViews>
  <sheetFormatPr defaultRowHeight="15.75" x14ac:dyDescent="0.25"/>
  <cols>
    <col min="1" max="1" width="6.7109375" customWidth="1"/>
    <col min="2" max="2" width="35.5703125" style="9" customWidth="1"/>
    <col min="3" max="3" width="22.85546875" customWidth="1"/>
    <col min="4" max="4" width="19" style="12" customWidth="1"/>
    <col min="5" max="5" width="39.5703125" style="12" customWidth="1"/>
    <col min="6" max="7" width="19" style="12" customWidth="1"/>
    <col min="8" max="8" width="19" customWidth="1"/>
    <col min="9" max="9" width="22" customWidth="1"/>
    <col min="10" max="12" width="19" customWidth="1"/>
    <col min="13" max="13" width="2.42578125" style="7" customWidth="1"/>
    <col min="14" max="15" width="12.140625" customWidth="1"/>
    <col min="16" max="16" width="19.28515625" customWidth="1"/>
  </cols>
  <sheetData>
    <row r="1" spans="1:9" ht="24" customHeight="1" x14ac:dyDescent="0.2">
      <c r="A1" s="87" t="s">
        <v>11</v>
      </c>
      <c r="B1" s="87"/>
      <c r="C1" s="4" t="s">
        <v>12</v>
      </c>
      <c r="D1" s="4" t="s">
        <v>17</v>
      </c>
    </row>
    <row r="2" spans="1:9" ht="18.75" customHeight="1" x14ac:dyDescent="0.2">
      <c r="A2" s="4"/>
      <c r="B2" s="6"/>
      <c r="C2" s="4"/>
    </row>
    <row r="3" spans="1:9" ht="18.75" customHeight="1" x14ac:dyDescent="0.25">
      <c r="A3" s="4"/>
      <c r="B3" s="55" t="s">
        <v>18</v>
      </c>
      <c r="C3" s="4"/>
    </row>
    <row r="4" spans="1:9" ht="18.75" customHeight="1" x14ac:dyDescent="0.25">
      <c r="A4" s="78">
        <v>1</v>
      </c>
      <c r="B4" s="78" t="str">
        <f>INDEX(D5:D6,A4,1)</f>
        <v>стационарное 24 В</v>
      </c>
      <c r="C4" s="18" t="str">
        <f>VLOOKUP(B4,Таблица2[#All],2,)</f>
        <v/>
      </c>
      <c r="D4" s="12" t="s">
        <v>39</v>
      </c>
      <c r="E4" s="12" t="s">
        <v>40</v>
      </c>
    </row>
    <row r="5" spans="1:9" ht="18.75" customHeight="1" x14ac:dyDescent="0.2">
      <c r="A5" s="4"/>
      <c r="B5" s="6"/>
      <c r="C5" s="4"/>
      <c r="D5" s="12" t="s">
        <v>20</v>
      </c>
      <c r="E5" s="13" t="s">
        <v>13</v>
      </c>
    </row>
    <row r="6" spans="1:9" ht="18.75" customHeight="1" x14ac:dyDescent="0.2">
      <c r="A6" s="4"/>
      <c r="B6" s="6"/>
      <c r="C6" s="4"/>
      <c r="D6" s="12" t="s">
        <v>19</v>
      </c>
      <c r="E6" s="13" t="s">
        <v>42</v>
      </c>
    </row>
    <row r="7" spans="1:9" ht="18.75" customHeight="1" x14ac:dyDescent="0.2">
      <c r="A7" s="4"/>
      <c r="B7" s="6"/>
      <c r="C7" s="4"/>
      <c r="E7" s="13"/>
    </row>
    <row r="8" spans="1:9" ht="18.75" customHeight="1" x14ac:dyDescent="0.25">
      <c r="B8" s="55" t="s">
        <v>38</v>
      </c>
      <c r="C8" s="1"/>
      <c r="D8" s="34"/>
    </row>
    <row r="9" spans="1:9" ht="18.75" customHeight="1" x14ac:dyDescent="0.25">
      <c r="C9" s="1"/>
      <c r="D9" s="34" t="s">
        <v>39</v>
      </c>
      <c r="E9" s="12" t="s">
        <v>40</v>
      </c>
      <c r="F9" s="45" t="s">
        <v>20</v>
      </c>
      <c r="G9" s="46" t="s">
        <v>19</v>
      </c>
      <c r="H9" s="20" t="s">
        <v>20</v>
      </c>
      <c r="I9" s="21" t="s">
        <v>19</v>
      </c>
    </row>
    <row r="10" spans="1:9" ht="18.75" customHeight="1" x14ac:dyDescent="0.25">
      <c r="A10" s="7">
        <v>1</v>
      </c>
      <c r="B10" s="79" t="str">
        <f ca="1">INDEX(D10:D11,A10,1)</f>
        <v>не требуется</v>
      </c>
      <c r="C10" s="40" t="str">
        <f ca="1">VLOOKUP(B10,Таблица9[#All],2,)</f>
        <v/>
      </c>
      <c r="D10" s="48" t="str">
        <f ca="1">OFFSET(F10,0,$A$4-1,,)</f>
        <v>не требуется</v>
      </c>
      <c r="E10" s="49" t="str">
        <f t="shared" ref="E10:E11" ca="1" si="0">OFFSET(H10,0,$A$4-1,,)</f>
        <v/>
      </c>
      <c r="F10" s="36" t="s">
        <v>10</v>
      </c>
      <c r="G10" s="24" t="s">
        <v>13</v>
      </c>
      <c r="H10" s="31" t="s">
        <v>13</v>
      </c>
      <c r="I10" s="23" t="s">
        <v>13</v>
      </c>
    </row>
    <row r="11" spans="1:9" ht="18.75" customHeight="1" x14ac:dyDescent="0.25">
      <c r="C11" s="9"/>
      <c r="D11" s="48" t="str">
        <f t="shared" ref="D11" ca="1" si="1">OFFSET(F11,0,$A$4-1,,)</f>
        <v>требуется</v>
      </c>
      <c r="E11" s="49" t="str">
        <f t="shared" ca="1" si="0"/>
        <v>Блок питания</v>
      </c>
      <c r="F11" s="37" t="s">
        <v>45</v>
      </c>
      <c r="G11" s="26" t="s">
        <v>13</v>
      </c>
      <c r="H11" s="39" t="s">
        <v>65</v>
      </c>
      <c r="I11" s="38" t="s">
        <v>13</v>
      </c>
    </row>
    <row r="12" spans="1:9" ht="18.75" customHeight="1" x14ac:dyDescent="0.2">
      <c r="A12" s="4"/>
      <c r="B12" s="6"/>
      <c r="C12" s="4"/>
      <c r="E12" s="13"/>
    </row>
    <row r="13" spans="1:9" ht="18.75" customHeight="1" x14ac:dyDescent="0.2">
      <c r="A13" s="4"/>
      <c r="B13" s="77" t="s">
        <v>80</v>
      </c>
      <c r="C13" s="4"/>
      <c r="E13" s="13"/>
    </row>
    <row r="14" spans="1:9" ht="18.75" customHeight="1" x14ac:dyDescent="0.25">
      <c r="C14" s="1"/>
      <c r="D14" s="34" t="s">
        <v>39</v>
      </c>
      <c r="E14" s="12" t="s">
        <v>40</v>
      </c>
      <c r="F14" s="45" t="s">
        <v>20</v>
      </c>
      <c r="G14" s="46" t="s">
        <v>19</v>
      </c>
      <c r="H14" s="20" t="s">
        <v>20</v>
      </c>
      <c r="I14" s="21" t="s">
        <v>19</v>
      </c>
    </row>
    <row r="15" spans="1:9" ht="18.75" customHeight="1" x14ac:dyDescent="0.25">
      <c r="A15" s="7">
        <v>1</v>
      </c>
      <c r="B15" s="79" t="str">
        <f ca="1">INDEX(D15:D16,A15,1)</f>
        <v>не требуется</v>
      </c>
      <c r="C15" s="40" t="str">
        <f ca="1">VLOOKUP(B15,Таблица92[#All],2,)</f>
        <v>Поставляется без разъёма, с зачищенными проводами для монтажа в клеммы</v>
      </c>
      <c r="D15" s="48" t="str">
        <f ca="1">OFFSET(F15,0,$A$4-1,,)</f>
        <v>не требуется</v>
      </c>
      <c r="E15" s="49" t="str">
        <f t="shared" ref="E15:E16" ca="1" si="2">OFFSET(H15,0,$A$4-1,,)</f>
        <v>Поставляется без разъёма, с зачищенными проводами для монтажа в клеммы</v>
      </c>
      <c r="F15" s="36" t="str">
        <f>IF(A10=2,"требуется","не требуется")</f>
        <v>не требуется</v>
      </c>
      <c r="G15" s="24" t="s">
        <v>13</v>
      </c>
      <c r="H15" s="31" t="str">
        <f>IF(A10=2,"Комплектуется разъёмом для блока питания","Поставляется без разъёма, с зачищенными проводами для монтажа в клеммы")</f>
        <v>Поставляется без разъёма, с зачищенными проводами для монтажа в клеммы</v>
      </c>
      <c r="I15" s="23" t="s">
        <v>13</v>
      </c>
    </row>
    <row r="16" spans="1:9" ht="18.75" customHeight="1" x14ac:dyDescent="0.25">
      <c r="C16" s="9"/>
      <c r="D16" s="48" t="str">
        <f t="shared" ref="D16" ca="1" si="3">OFFSET(F16,0,$A$4-1,,)</f>
        <v>требуется</v>
      </c>
      <c r="E16" s="49" t="str">
        <f t="shared" ca="1" si="2"/>
        <v>Комплектуется разъёмом для блока питания</v>
      </c>
      <c r="F16" s="37" t="str">
        <f>IF(A10=2,"","требуется")</f>
        <v>требуется</v>
      </c>
      <c r="G16" s="26" t="s">
        <v>13</v>
      </c>
      <c r="H16" s="25" t="str">
        <f>IF(A10=2,"","Комплектуется разъёмом для блока питания")</f>
        <v>Комплектуется разъёмом для блока питания</v>
      </c>
      <c r="I16" s="38" t="s">
        <v>13</v>
      </c>
    </row>
    <row r="17" spans="1:13" ht="18.75" customHeight="1" x14ac:dyDescent="0.2">
      <c r="A17" s="4"/>
      <c r="B17" s="6"/>
      <c r="C17" s="4"/>
      <c r="E17" s="13"/>
    </row>
    <row r="18" spans="1:13" ht="18.75" customHeight="1" x14ac:dyDescent="0.25">
      <c r="A18" s="4"/>
      <c r="B18" s="55" t="s">
        <v>23</v>
      </c>
      <c r="C18" s="4"/>
      <c r="E18" s="13"/>
    </row>
    <row r="19" spans="1:13" ht="18.75" customHeight="1" x14ac:dyDescent="0.25">
      <c r="A19" s="4"/>
      <c r="B19" s="55" t="s">
        <v>16</v>
      </c>
      <c r="C19" s="4"/>
      <c r="E19" s="13"/>
    </row>
    <row r="20" spans="1:13" ht="18.75" customHeight="1" x14ac:dyDescent="0.2">
      <c r="A20" s="33">
        <v>1</v>
      </c>
      <c r="B20" s="80" t="str">
        <f>INDEX(D20,A20,1)</f>
        <v>есть</v>
      </c>
      <c r="C20" s="33"/>
      <c r="D20" s="32" t="s">
        <v>44</v>
      </c>
      <c r="E20" s="13"/>
    </row>
    <row r="21" spans="1:13" ht="18.75" customHeight="1" x14ac:dyDescent="0.2">
      <c r="A21" s="4"/>
      <c r="B21" s="6"/>
      <c r="C21" s="35"/>
      <c r="D21" s="34"/>
      <c r="E21" s="13"/>
    </row>
    <row r="22" spans="1:13" ht="18.75" customHeight="1" x14ac:dyDescent="0.25">
      <c r="A22" s="4"/>
      <c r="B22" s="55" t="s">
        <v>15</v>
      </c>
      <c r="C22" s="35"/>
      <c r="D22" s="34"/>
      <c r="E22" s="13"/>
    </row>
    <row r="23" spans="1:13" ht="18.75" customHeight="1" x14ac:dyDescent="0.2">
      <c r="A23" s="33">
        <v>2</v>
      </c>
      <c r="B23" s="80" t="str">
        <f ca="1">INDEX(Таблица4[Столбец1],A23,1)</f>
        <v>не требуется</v>
      </c>
      <c r="C23" s="33" t="str">
        <f ca="1">VLOOKUP(B23,Таблица4[#All],2,)</f>
        <v/>
      </c>
      <c r="D23" s="34" t="s">
        <v>39</v>
      </c>
      <c r="E23" s="13" t="s">
        <v>40</v>
      </c>
      <c r="F23" s="20" t="s">
        <v>20</v>
      </c>
      <c r="G23" s="21" t="s">
        <v>19</v>
      </c>
      <c r="H23" s="20" t="s">
        <v>20</v>
      </c>
      <c r="I23" s="21" t="s">
        <v>19</v>
      </c>
    </row>
    <row r="24" spans="1:13" ht="18.75" customHeight="1" x14ac:dyDescent="0.2">
      <c r="A24" s="4"/>
      <c r="B24" s="6"/>
      <c r="C24" s="35"/>
      <c r="D24" s="34" t="str">
        <f t="shared" ref="D24:D25" ca="1" si="4">OFFSET(F24,0,$A$4-1,,)</f>
        <v>требуется</v>
      </c>
      <c r="E24" s="13" t="str">
        <f t="shared" ref="E24:E25" ca="1" si="5">OFFSET(H24,0,$A$4-1,,)</f>
        <v xml:space="preserve">RS485, </v>
      </c>
      <c r="F24" s="36" t="s">
        <v>45</v>
      </c>
      <c r="G24" s="24" t="s">
        <v>13</v>
      </c>
      <c r="H24" s="27" t="s">
        <v>46</v>
      </c>
      <c r="I24" s="23" t="s">
        <v>13</v>
      </c>
    </row>
    <row r="25" spans="1:13" ht="18.75" customHeight="1" x14ac:dyDescent="0.2">
      <c r="A25" s="4"/>
      <c r="B25" s="6"/>
      <c r="C25" s="35"/>
      <c r="D25" s="34" t="str">
        <f t="shared" ca="1" si="4"/>
        <v>не требуется</v>
      </c>
      <c r="E25" s="13" t="str">
        <f t="shared" ca="1" si="5"/>
        <v/>
      </c>
      <c r="F25" s="37" t="s">
        <v>10</v>
      </c>
      <c r="G25" s="26" t="s">
        <v>13</v>
      </c>
      <c r="H25" s="39" t="s">
        <v>13</v>
      </c>
      <c r="I25" s="38" t="s">
        <v>13</v>
      </c>
    </row>
    <row r="26" spans="1:13" ht="18.75" customHeight="1" x14ac:dyDescent="0.2">
      <c r="A26" s="4"/>
      <c r="B26" s="6"/>
      <c r="C26" s="35"/>
      <c r="D26" s="34"/>
      <c r="E26" s="13"/>
    </row>
    <row r="27" spans="1:13" ht="18.75" customHeight="1" x14ac:dyDescent="0.25">
      <c r="A27" s="4"/>
      <c r="B27" s="55" t="s">
        <v>26</v>
      </c>
      <c r="C27" s="35"/>
      <c r="D27" s="34"/>
      <c r="E27" s="13"/>
    </row>
    <row r="28" spans="1:13" ht="18.75" customHeight="1" x14ac:dyDescent="0.25">
      <c r="A28" s="7">
        <v>1</v>
      </c>
      <c r="B28" s="79" t="str">
        <f ca="1">INDEX(Таблица3[Столбец1],A28,1)</f>
        <v>нет</v>
      </c>
      <c r="C28" s="40" t="str">
        <f ca="1">VLOOKUP(B28,Таблица3[#All],2,)</f>
        <v/>
      </c>
      <c r="D28" s="12" t="s">
        <v>39</v>
      </c>
      <c r="E28" s="12" t="s">
        <v>43</v>
      </c>
      <c r="F28" s="20" t="s">
        <v>20</v>
      </c>
      <c r="G28" s="21" t="s">
        <v>19</v>
      </c>
      <c r="H28" s="20" t="s">
        <v>20</v>
      </c>
      <c r="I28" s="21" t="s">
        <v>19</v>
      </c>
    </row>
    <row r="29" spans="1:13" ht="18.75" customHeight="1" x14ac:dyDescent="0.25">
      <c r="C29" s="9"/>
      <c r="D29" s="19" t="str">
        <f t="shared" ref="D29:D38" ca="1" si="6">OFFSET(F29,0,$A$4-1,,)</f>
        <v>нет</v>
      </c>
      <c r="E29" s="19" t="str">
        <f t="shared" ref="E29:E38" ca="1" si="7">OFFSET(H29,0,$A$4-1,,)</f>
        <v/>
      </c>
      <c r="F29" s="22" t="s">
        <v>36</v>
      </c>
      <c r="G29" s="23" t="s">
        <v>13</v>
      </c>
      <c r="H29" s="31" t="s">
        <v>13</v>
      </c>
      <c r="I29" s="23" t="s">
        <v>13</v>
      </c>
      <c r="J29" s="14" t="s">
        <v>13</v>
      </c>
      <c r="K29" s="14"/>
      <c r="L29" s="14"/>
      <c r="M29" s="17"/>
    </row>
    <row r="30" spans="1:13" ht="18.75" customHeight="1" x14ac:dyDescent="0.25">
      <c r="C30" s="9"/>
      <c r="D30" s="19" t="str">
        <f t="shared" ca="1" si="6"/>
        <v>2 входа 4-20 мА</v>
      </c>
      <c r="E30" s="19" t="str">
        <f t="shared" ca="1" si="7"/>
        <v xml:space="preserve">AIn 2, </v>
      </c>
      <c r="F30" s="22" t="s">
        <v>27</v>
      </c>
      <c r="G30" s="24" t="s">
        <v>13</v>
      </c>
      <c r="H30" s="27" t="s">
        <v>47</v>
      </c>
      <c r="I30" s="28" t="s">
        <v>13</v>
      </c>
      <c r="J30" s="14" t="s">
        <v>13</v>
      </c>
      <c r="K30" s="14"/>
      <c r="L30" s="14"/>
      <c r="M30" s="17"/>
    </row>
    <row r="31" spans="1:13" ht="18.75" customHeight="1" x14ac:dyDescent="0.25">
      <c r="C31" s="9"/>
      <c r="D31" s="19" t="str">
        <f t="shared" ca="1" si="6"/>
        <v>2 счетных входа</v>
      </c>
      <c r="E31" s="19" t="str">
        <f t="shared" ca="1" si="7"/>
        <v xml:space="preserve">DIn 2, </v>
      </c>
      <c r="F31" s="22" t="s">
        <v>28</v>
      </c>
      <c r="G31" s="24" t="s">
        <v>13</v>
      </c>
      <c r="H31" s="27" t="s">
        <v>55</v>
      </c>
      <c r="I31" s="28" t="s">
        <v>13</v>
      </c>
      <c r="J31" s="14" t="s">
        <v>13</v>
      </c>
      <c r="K31" s="14"/>
      <c r="L31" s="14"/>
      <c r="M31" s="17"/>
    </row>
    <row r="32" spans="1:13" ht="18.75" customHeight="1" x14ac:dyDescent="0.25">
      <c r="C32" s="9"/>
      <c r="D32" s="19" t="str">
        <f t="shared" ca="1" si="6"/>
        <v>2 выхода «открытый коллектор»</v>
      </c>
      <c r="E32" s="19" t="str">
        <f t="shared" ca="1" si="7"/>
        <v xml:space="preserve">DOut 2, </v>
      </c>
      <c r="F32" s="22" t="s">
        <v>32</v>
      </c>
      <c r="G32" s="24" t="s">
        <v>13</v>
      </c>
      <c r="H32" s="27" t="s">
        <v>48</v>
      </c>
      <c r="I32" s="28" t="s">
        <v>13</v>
      </c>
      <c r="J32" s="14" t="s">
        <v>13</v>
      </c>
      <c r="K32" s="14"/>
      <c r="L32" s="14"/>
      <c r="M32" s="17"/>
    </row>
    <row r="33" spans="1:13" ht="18.75" customHeight="1" x14ac:dyDescent="0.25">
      <c r="C33" s="9"/>
      <c r="D33" s="19" t="str">
        <f t="shared" ca="1" si="6"/>
        <v>2 входа 4-20 мА, 2 счетных входа</v>
      </c>
      <c r="E33" s="19" t="str">
        <f t="shared" ca="1" si="7"/>
        <v xml:space="preserve">AIn 2, DIn 2, </v>
      </c>
      <c r="F33" s="22" t="s">
        <v>29</v>
      </c>
      <c r="G33" s="24" t="s">
        <v>13</v>
      </c>
      <c r="H33" s="27" t="s">
        <v>49</v>
      </c>
      <c r="I33" s="28" t="s">
        <v>13</v>
      </c>
      <c r="J33" s="14" t="s">
        <v>13</v>
      </c>
      <c r="K33" s="14"/>
      <c r="L33" s="14"/>
      <c r="M33" s="17"/>
    </row>
    <row r="34" spans="1:13" ht="18.75" customHeight="1" x14ac:dyDescent="0.25">
      <c r="C34" s="9"/>
      <c r="D34" s="19" t="str">
        <f t="shared" ca="1" si="6"/>
        <v>2 входа 4-20 мА, 2 выхода «открытый коллектор»</v>
      </c>
      <c r="E34" s="19" t="str">
        <f t="shared" ca="1" si="7"/>
        <v xml:space="preserve">AIn 2, DOut 2, </v>
      </c>
      <c r="F34" s="22" t="s">
        <v>33</v>
      </c>
      <c r="G34" s="24" t="s">
        <v>13</v>
      </c>
      <c r="H34" s="27" t="s">
        <v>50</v>
      </c>
      <c r="I34" s="28" t="s">
        <v>13</v>
      </c>
      <c r="J34" s="14" t="s">
        <v>13</v>
      </c>
      <c r="K34" s="14"/>
      <c r="L34" s="14"/>
      <c r="M34" s="17"/>
    </row>
    <row r="35" spans="1:13" ht="18.75" customHeight="1" x14ac:dyDescent="0.25">
      <c r="C35" s="9"/>
      <c r="D35" s="19" t="str">
        <f t="shared" ca="1" si="6"/>
        <v>2 счетных входа, 2 выхода «открытый коллектор»</v>
      </c>
      <c r="E35" s="19" t="str">
        <f t="shared" ca="1" si="7"/>
        <v xml:space="preserve">DIn 2, DOut 2, </v>
      </c>
      <c r="F35" s="22" t="s">
        <v>34</v>
      </c>
      <c r="G35" s="24" t="s">
        <v>13</v>
      </c>
      <c r="H35" s="27" t="s">
        <v>51</v>
      </c>
      <c r="I35" s="28" t="s">
        <v>13</v>
      </c>
      <c r="J35" s="14" t="s">
        <v>13</v>
      </c>
      <c r="K35" s="14"/>
      <c r="L35" s="14"/>
      <c r="M35" s="17"/>
    </row>
    <row r="36" spans="1:13" ht="18.75" customHeight="1" x14ac:dyDescent="0.25">
      <c r="C36" s="9"/>
      <c r="D36" s="19" t="str">
        <f t="shared" ca="1" si="6"/>
        <v>4 входа 4-20 мА</v>
      </c>
      <c r="E36" s="19" t="str">
        <f t="shared" ca="1" si="7"/>
        <v xml:space="preserve">AIn 4, </v>
      </c>
      <c r="F36" s="22" t="s">
        <v>30</v>
      </c>
      <c r="G36" s="24" t="s">
        <v>13</v>
      </c>
      <c r="H36" s="27" t="s">
        <v>52</v>
      </c>
      <c r="I36" s="28" t="s">
        <v>13</v>
      </c>
      <c r="J36" s="14" t="s">
        <v>13</v>
      </c>
      <c r="K36" s="14"/>
      <c r="L36" s="14"/>
      <c r="M36" s="17"/>
    </row>
    <row r="37" spans="1:13" ht="18.75" customHeight="1" x14ac:dyDescent="0.25">
      <c r="C37" s="9"/>
      <c r="D37" s="19" t="str">
        <f t="shared" ca="1" si="6"/>
        <v>4 счетных входа</v>
      </c>
      <c r="E37" s="19" t="str">
        <f t="shared" ca="1" si="7"/>
        <v xml:space="preserve">DIn 4, </v>
      </c>
      <c r="F37" s="22" t="s">
        <v>31</v>
      </c>
      <c r="G37" s="24" t="s">
        <v>13</v>
      </c>
      <c r="H37" s="27" t="s">
        <v>53</v>
      </c>
      <c r="I37" s="28" t="s">
        <v>13</v>
      </c>
      <c r="J37" s="14" t="s">
        <v>13</v>
      </c>
      <c r="K37" s="14"/>
      <c r="L37" s="14"/>
      <c r="M37" s="17"/>
    </row>
    <row r="38" spans="1:13" ht="18.75" customHeight="1" x14ac:dyDescent="0.25">
      <c r="C38" s="9"/>
      <c r="D38" s="19" t="str">
        <f t="shared" ca="1" si="6"/>
        <v>4 выхода «открытый коллектор»</v>
      </c>
      <c r="E38" s="19" t="str">
        <f t="shared" ca="1" si="7"/>
        <v xml:space="preserve">DOut 4, </v>
      </c>
      <c r="F38" s="25" t="s">
        <v>35</v>
      </c>
      <c r="G38" s="26" t="s">
        <v>13</v>
      </c>
      <c r="H38" s="29" t="s">
        <v>54</v>
      </c>
      <c r="I38" s="30" t="s">
        <v>13</v>
      </c>
      <c r="J38" s="14" t="s">
        <v>13</v>
      </c>
      <c r="K38" s="14"/>
      <c r="L38" s="14"/>
      <c r="M38" s="17"/>
    </row>
    <row r="39" spans="1:13" ht="18.75" customHeight="1" x14ac:dyDescent="0.25">
      <c r="C39" s="9"/>
      <c r="D39" s="19"/>
      <c r="E39" s="19"/>
      <c r="F39" s="41"/>
      <c r="G39" s="42"/>
      <c r="H39" s="43"/>
      <c r="I39" s="44"/>
      <c r="J39" s="14"/>
      <c r="K39" s="14"/>
      <c r="L39" s="14"/>
      <c r="M39" s="17"/>
    </row>
    <row r="40" spans="1:13" ht="18.75" customHeight="1" x14ac:dyDescent="0.25">
      <c r="C40" s="9"/>
      <c r="D40" s="19"/>
      <c r="E40" s="19"/>
      <c r="F40" s="41"/>
      <c r="G40" s="42"/>
      <c r="H40" s="43"/>
      <c r="I40" s="44"/>
      <c r="J40" s="14"/>
      <c r="K40" s="14"/>
      <c r="L40" s="14"/>
      <c r="M40" s="17"/>
    </row>
    <row r="41" spans="1:13" ht="18.75" customHeight="1" x14ac:dyDescent="0.25">
      <c r="B41" s="55" t="s">
        <v>73</v>
      </c>
      <c r="C41" s="9"/>
      <c r="D41" s="19" t="s">
        <v>39</v>
      </c>
      <c r="E41" s="19" t="s">
        <v>43</v>
      </c>
      <c r="F41" s="45" t="s">
        <v>20</v>
      </c>
      <c r="G41" s="46" t="s">
        <v>19</v>
      </c>
      <c r="H41" s="20" t="s">
        <v>20</v>
      </c>
      <c r="I41" s="21" t="s">
        <v>19</v>
      </c>
      <c r="J41" s="14"/>
      <c r="K41" s="14"/>
      <c r="L41" s="14"/>
      <c r="M41" s="17"/>
    </row>
    <row r="42" spans="1:13" ht="18.75" customHeight="1" x14ac:dyDescent="0.25">
      <c r="A42" s="7">
        <v>1</v>
      </c>
      <c r="B42" s="79">
        <f ca="1">INDEX(D42:D45,A42,1)</f>
        <v>1</v>
      </c>
      <c r="C42" s="8" t="str">
        <f ca="1">VLOOKUP(B42,Таблица5[#All],2,)</f>
        <v xml:space="preserve">1м, </v>
      </c>
      <c r="D42" s="12">
        <f ca="1">OFFSET(F42,0,$A$4-1,,)</f>
        <v>1</v>
      </c>
      <c r="E42" s="12" t="str">
        <f ca="1">OFFSET(H42,0,$A$4-1,,)</f>
        <v xml:space="preserve">1м, </v>
      </c>
      <c r="F42" s="36">
        <v>1</v>
      </c>
      <c r="G42" s="24" t="s">
        <v>13</v>
      </c>
      <c r="H42" s="27" t="s">
        <v>56</v>
      </c>
      <c r="I42" s="23" t="s">
        <v>13</v>
      </c>
    </row>
    <row r="43" spans="1:13" ht="18.75" customHeight="1" x14ac:dyDescent="0.25">
      <c r="C43" s="1"/>
      <c r="D43" s="12">
        <f t="shared" ref="D43:D45" ca="1" si="8">OFFSET(F43,0,$A$4-1,,)</f>
        <v>5</v>
      </c>
      <c r="E43" s="12" t="str">
        <f t="shared" ref="E43:E45" ca="1" si="9">OFFSET(H43,0,$A$4-1,,)</f>
        <v xml:space="preserve">5м, </v>
      </c>
      <c r="F43" s="36">
        <v>5</v>
      </c>
      <c r="G43" s="24" t="s">
        <v>13</v>
      </c>
      <c r="H43" s="27" t="s">
        <v>58</v>
      </c>
      <c r="I43" s="23" t="s">
        <v>13</v>
      </c>
    </row>
    <row r="44" spans="1:13" ht="18.75" customHeight="1" x14ac:dyDescent="0.25">
      <c r="C44" s="1"/>
      <c r="D44" s="12">
        <f t="shared" ca="1" si="8"/>
        <v>10</v>
      </c>
      <c r="E44" s="12" t="str">
        <f t="shared" ca="1" si="9"/>
        <v xml:space="preserve">10м, </v>
      </c>
      <c r="F44" s="36">
        <v>10</v>
      </c>
      <c r="G44" s="24" t="s">
        <v>13</v>
      </c>
      <c r="H44" s="27" t="s">
        <v>59</v>
      </c>
      <c r="I44" s="23" t="s">
        <v>13</v>
      </c>
    </row>
    <row r="45" spans="1:13" ht="18.75" customHeight="1" x14ac:dyDescent="0.25">
      <c r="C45" s="1"/>
      <c r="D45" s="12" t="str">
        <f t="shared" ca="1" si="8"/>
        <v>другая</v>
      </c>
      <c r="E45" s="12" t="str">
        <f t="shared" ca="1" si="9"/>
        <v xml:space="preserve">м, </v>
      </c>
      <c r="F45" s="37" t="s">
        <v>57</v>
      </c>
      <c r="G45" s="26" t="s">
        <v>13</v>
      </c>
      <c r="H45" s="29" t="str">
        <f>'Опросный лист шлюз'!F10&amp;"м, "</f>
        <v xml:space="preserve">м, </v>
      </c>
      <c r="I45" s="38" t="s">
        <v>13</v>
      </c>
    </row>
    <row r="46" spans="1:13" ht="18.75" customHeight="1" x14ac:dyDescent="0.25">
      <c r="C46" s="1"/>
      <c r="F46" s="34"/>
      <c r="G46" s="42"/>
      <c r="H46" s="43"/>
      <c r="I46" s="47"/>
    </row>
    <row r="47" spans="1:13" ht="18.75" customHeight="1" x14ac:dyDescent="0.25">
      <c r="B47" s="55" t="s">
        <v>41</v>
      </c>
      <c r="C47" s="1"/>
      <c r="F47" s="34"/>
      <c r="G47" s="42"/>
      <c r="H47" s="43"/>
      <c r="I47" s="47"/>
    </row>
    <row r="48" spans="1:13" ht="18.75" customHeight="1" x14ac:dyDescent="0.25">
      <c r="A48" s="7">
        <v>1</v>
      </c>
      <c r="B48" s="78" t="str">
        <f>INDEX(D49:D50,A48,1)</f>
        <v>LoRaWAN + Bluetooth Low Energy</v>
      </c>
      <c r="C48" s="18" t="str">
        <f>VLOOKUP(B48,D48:E50,2,)</f>
        <v>LoRa</v>
      </c>
      <c r="D48" s="12" t="s">
        <v>39</v>
      </c>
      <c r="E48" s="12" t="s">
        <v>40</v>
      </c>
      <c r="F48" s="34"/>
      <c r="G48" s="42"/>
      <c r="H48" s="43"/>
      <c r="I48" s="47"/>
    </row>
    <row r="49" spans="1:9" ht="18.75" customHeight="1" x14ac:dyDescent="0.25">
      <c r="C49" s="1"/>
      <c r="D49" s="12" t="s">
        <v>70</v>
      </c>
      <c r="E49" s="12" t="s">
        <v>24</v>
      </c>
      <c r="F49" s="34"/>
      <c r="G49" s="42"/>
      <c r="H49" s="43"/>
      <c r="I49" s="47"/>
    </row>
    <row r="50" spans="1:9" ht="18.75" customHeight="1" x14ac:dyDescent="0.25">
      <c r="C50" s="1"/>
      <c r="D50" s="12" t="s">
        <v>71</v>
      </c>
      <c r="E50" s="12" t="s">
        <v>25</v>
      </c>
      <c r="F50" s="34"/>
      <c r="G50" s="42"/>
      <c r="H50" s="43"/>
      <c r="I50" s="47"/>
    </row>
    <row r="51" spans="1:9" ht="18.75" customHeight="1" x14ac:dyDescent="0.25">
      <c r="C51" s="1"/>
      <c r="D51" s="12" t="s">
        <v>72</v>
      </c>
      <c r="E51" s="12" t="s">
        <v>60</v>
      </c>
      <c r="F51" s="34"/>
      <c r="G51" s="42"/>
      <c r="H51" s="43"/>
      <c r="I51" s="47"/>
    </row>
    <row r="52" spans="1:9" ht="18.75" customHeight="1" x14ac:dyDescent="0.25">
      <c r="C52" s="1"/>
      <c r="F52" s="34"/>
      <c r="G52" s="42"/>
      <c r="H52" s="43"/>
      <c r="I52" s="47"/>
    </row>
    <row r="53" spans="1:9" ht="18.75" customHeight="1" x14ac:dyDescent="0.25">
      <c r="B53" s="56" t="s">
        <v>74</v>
      </c>
      <c r="C53" s="1"/>
      <c r="F53" s="34"/>
      <c r="G53" s="42"/>
      <c r="H53" s="43"/>
      <c r="I53" s="47"/>
    </row>
    <row r="54" spans="1:9" ht="18.75" customHeight="1" x14ac:dyDescent="0.25">
      <c r="A54" s="7">
        <v>1</v>
      </c>
      <c r="B54" s="40" t="str">
        <f>INDEX(Таблица6[],A54,1)</f>
        <v>от -40 до +60 °C (индустриальный температурный диапазон)</v>
      </c>
      <c r="C54" s="8" t="str">
        <f>INDEX(Таблица6[],A54,2)</f>
        <v/>
      </c>
      <c r="D54" s="12" t="s">
        <v>39</v>
      </c>
      <c r="E54" s="12" t="s">
        <v>40</v>
      </c>
      <c r="F54" s="34"/>
      <c r="G54" s="42"/>
      <c r="H54" s="43"/>
      <c r="I54" s="47"/>
    </row>
    <row r="55" spans="1:9" ht="18.75" customHeight="1" x14ac:dyDescent="0.25">
      <c r="C55" s="1"/>
      <c r="D55" s="12" t="s">
        <v>75</v>
      </c>
      <c r="E55" s="13" t="s">
        <v>13</v>
      </c>
      <c r="F55" s="34"/>
      <c r="G55" s="42"/>
      <c r="H55" s="43"/>
      <c r="I55" s="47"/>
    </row>
    <row r="56" spans="1:9" ht="18.75" customHeight="1" x14ac:dyDescent="0.25">
      <c r="C56" s="1"/>
      <c r="D56" s="12" t="s">
        <v>76</v>
      </c>
      <c r="E56" s="12" t="s">
        <v>77</v>
      </c>
      <c r="F56" s="34"/>
      <c r="G56" s="42"/>
      <c r="H56" s="43"/>
      <c r="I56" s="47"/>
    </row>
    <row r="57" spans="1:9" ht="18.75" customHeight="1" x14ac:dyDescent="0.25">
      <c r="C57" s="1"/>
      <c r="D57" s="12" t="s">
        <v>78</v>
      </c>
      <c r="E57" s="12" t="s">
        <v>79</v>
      </c>
      <c r="F57" s="34"/>
      <c r="G57" s="42"/>
      <c r="H57" s="43"/>
      <c r="I57" s="47"/>
    </row>
    <row r="58" spans="1:9" ht="18.75" customHeight="1" x14ac:dyDescent="0.25">
      <c r="C58" s="1"/>
      <c r="F58" s="34"/>
      <c r="G58" s="42"/>
      <c r="H58" s="43"/>
      <c r="I58" s="47"/>
    </row>
    <row r="59" spans="1:9" ht="18.75" customHeight="1" x14ac:dyDescent="0.25">
      <c r="B59" s="55" t="s">
        <v>37</v>
      </c>
      <c r="C59" s="1"/>
      <c r="F59" s="34"/>
      <c r="G59" s="42"/>
      <c r="H59" s="43"/>
      <c r="I59" s="47"/>
    </row>
    <row r="60" spans="1:9" ht="18.75" customHeight="1" x14ac:dyDescent="0.25">
      <c r="C60" s="1"/>
      <c r="D60" s="12" t="s">
        <v>39</v>
      </c>
      <c r="E60" s="12" t="s">
        <v>40</v>
      </c>
      <c r="F60" s="45" t="s">
        <v>20</v>
      </c>
      <c r="G60" s="46" t="s">
        <v>19</v>
      </c>
      <c r="H60" s="20" t="s">
        <v>20</v>
      </c>
      <c r="I60" s="21" t="s">
        <v>19</v>
      </c>
    </row>
    <row r="61" spans="1:9" ht="18.75" customHeight="1" x14ac:dyDescent="0.25">
      <c r="A61" s="7">
        <v>1</v>
      </c>
      <c r="B61" s="79" t="str">
        <f ca="1">INDEX(D61:D63,A61,1)</f>
        <v>не требуется</v>
      </c>
      <c r="C61" s="40" t="str">
        <f ca="1">VLOOKUP(B61,Таблица8[#All],2,)</f>
        <v/>
      </c>
      <c r="D61" s="48" t="str">
        <f ca="1">OFFSET(F61,0,$A$4-1,,)</f>
        <v>не требуется</v>
      </c>
      <c r="E61" s="49" t="str">
        <f t="shared" ref="E61:E63" ca="1" si="10">OFFSET(H61,0,$A$4-1,,)</f>
        <v/>
      </c>
      <c r="F61" s="36" t="s">
        <v>10</v>
      </c>
      <c r="G61" s="24" t="s">
        <v>13</v>
      </c>
      <c r="H61" s="31" t="s">
        <v>13</v>
      </c>
      <c r="I61" s="23" t="s">
        <v>13</v>
      </c>
    </row>
    <row r="62" spans="1:9" ht="18.75" customHeight="1" x14ac:dyDescent="0.25">
      <c r="C62" s="1"/>
      <c r="D62" s="48" t="str">
        <f t="shared" ref="D62:D63" ca="1" si="11">OFFSET(F62,0,$A$4-1,,)</f>
        <v>для помещений</v>
      </c>
      <c r="E62" s="49" t="str">
        <f t="shared" ca="1" si="10"/>
        <v>Монтажная (распаячная) коробка для помещений</v>
      </c>
      <c r="F62" s="36" t="s">
        <v>61</v>
      </c>
      <c r="G62" s="24" t="s">
        <v>13</v>
      </c>
      <c r="H62" s="31" t="s">
        <v>63</v>
      </c>
      <c r="I62" s="23" t="s">
        <v>13</v>
      </c>
    </row>
    <row r="63" spans="1:9" ht="18.75" customHeight="1" x14ac:dyDescent="0.25">
      <c r="C63" s="1"/>
      <c r="D63" s="48" t="str">
        <f t="shared" ca="1" si="11"/>
        <v>для наружной установки</v>
      </c>
      <c r="E63" s="49" t="str">
        <f t="shared" ca="1" si="10"/>
        <v>Монтажная (распаячная) коробка для наружной установки</v>
      </c>
      <c r="F63" s="37" t="s">
        <v>62</v>
      </c>
      <c r="G63" s="26" t="s">
        <v>13</v>
      </c>
      <c r="H63" s="39" t="s">
        <v>64</v>
      </c>
      <c r="I63" s="38" t="s">
        <v>13</v>
      </c>
    </row>
    <row r="64" spans="1:9" ht="18.75" customHeight="1" x14ac:dyDescent="0.25">
      <c r="C64" s="1"/>
      <c r="D64" s="34"/>
    </row>
    <row r="65" spans="1:9" ht="18.75" customHeight="1" x14ac:dyDescent="0.25"/>
    <row r="66" spans="1:9" ht="18.75" customHeight="1" x14ac:dyDescent="0.25"/>
    <row r="67" spans="1:9" ht="18.75" customHeight="1" x14ac:dyDescent="0.25"/>
    <row r="68" spans="1:9" ht="18.75" customHeight="1" x14ac:dyDescent="0.25"/>
    <row r="69" spans="1:9" ht="18.75" customHeight="1" x14ac:dyDescent="0.25">
      <c r="C69" s="9"/>
      <c r="D69" s="50"/>
      <c r="E69" s="15"/>
      <c r="F69" s="34"/>
      <c r="G69" s="42"/>
      <c r="H69" s="47"/>
      <c r="I69" s="47"/>
    </row>
    <row r="70" spans="1:9" ht="18.75" customHeight="1" x14ac:dyDescent="0.25">
      <c r="B70" s="55" t="s">
        <v>21</v>
      </c>
      <c r="C70" s="9"/>
      <c r="D70" s="50"/>
      <c r="E70" s="15"/>
      <c r="F70" s="34"/>
      <c r="G70" s="42"/>
      <c r="H70" s="47"/>
      <c r="I70" s="47"/>
    </row>
    <row r="71" spans="1:9" ht="18.75" customHeight="1" x14ac:dyDescent="0.25">
      <c r="C71" s="9"/>
      <c r="D71" s="34" t="s">
        <v>39</v>
      </c>
      <c r="E71" s="12" t="s">
        <v>40</v>
      </c>
      <c r="F71" s="53" t="s">
        <v>20</v>
      </c>
      <c r="G71" s="51" t="s">
        <v>19</v>
      </c>
      <c r="H71" s="20" t="s">
        <v>20</v>
      </c>
      <c r="I71" s="21" t="s">
        <v>19</v>
      </c>
    </row>
    <row r="72" spans="1:9" ht="18.75" customHeight="1" x14ac:dyDescent="0.25">
      <c r="A72" s="81">
        <v>1</v>
      </c>
      <c r="B72" s="82" t="str">
        <f ca="1">INDEX(D72:D74,A72,1)</f>
        <v>не требуется</v>
      </c>
      <c r="C72" s="40" t="str">
        <f ca="1">VLOOKUP(B72,Таблица10[#All],2,)</f>
        <v/>
      </c>
      <c r="D72" s="48" t="str">
        <f ca="1">OFFSET(F72,0,$A$4-1,,)</f>
        <v>не требуется</v>
      </c>
      <c r="E72" s="49" t="str">
        <f t="shared" ref="E72:E74" ca="1" si="12">OFFSET(H72,0,$A$4-1,,)</f>
        <v/>
      </c>
      <c r="F72" s="34" t="s">
        <v>10</v>
      </c>
      <c r="G72" s="42" t="s">
        <v>10</v>
      </c>
      <c r="H72" s="31" t="s">
        <v>13</v>
      </c>
      <c r="I72" s="23" t="s">
        <v>13</v>
      </c>
    </row>
    <row r="73" spans="1:9" ht="18.75" customHeight="1" x14ac:dyDescent="0.25">
      <c r="A73" s="5"/>
      <c r="B73" s="11"/>
      <c r="C73" s="3"/>
      <c r="D73" s="48" t="str">
        <f t="shared" ref="D73:D74" ca="1" si="13">OFFSET(F73,0,$A$4-1,,)</f>
        <v>на мачту</v>
      </c>
      <c r="E73" s="12" t="str">
        <f t="shared" ca="1" si="12"/>
        <v>Крепление на мачту</v>
      </c>
      <c r="F73" s="34" t="s">
        <v>66</v>
      </c>
      <c r="G73" s="42" t="s">
        <v>67</v>
      </c>
      <c r="H73" s="31" t="s">
        <v>68</v>
      </c>
      <c r="I73" s="23" t="s">
        <v>69</v>
      </c>
    </row>
    <row r="74" spans="1:9" ht="18.75" customHeight="1" x14ac:dyDescent="0.25">
      <c r="A74" s="5"/>
      <c r="B74" s="11"/>
      <c r="C74" s="3"/>
      <c r="D74" s="48" t="str">
        <f t="shared" ca="1" si="13"/>
        <v>другое</v>
      </c>
      <c r="E74" s="12" t="str">
        <f t="shared" ca="1" si="12"/>
        <v xml:space="preserve">Крепление: </v>
      </c>
      <c r="F74" s="54" t="s">
        <v>5</v>
      </c>
      <c r="G74" s="52" t="s">
        <v>5</v>
      </c>
      <c r="H74" s="39" t="str">
        <f>"Крепление: "&amp;'Опросный лист шлюз'!F13</f>
        <v xml:space="preserve">Крепление: </v>
      </c>
      <c r="I74" s="38" t="str">
        <f>"Крепление: "&amp;'Опросный лист шлюз'!F13</f>
        <v xml:space="preserve">Крепление: </v>
      </c>
    </row>
    <row r="75" spans="1:9" ht="18.75" customHeight="1" x14ac:dyDescent="0.25"/>
    <row r="76" spans="1:9" ht="18.75" customHeight="1" x14ac:dyDescent="0.25">
      <c r="B76" s="16"/>
      <c r="C76" s="1"/>
    </row>
    <row r="77" spans="1:9" ht="18.75" customHeight="1" x14ac:dyDescent="0.25">
      <c r="B77" s="16"/>
      <c r="C77" s="1"/>
    </row>
    <row r="78" spans="1:9" ht="18.75" customHeight="1" x14ac:dyDescent="0.25">
      <c r="B78" s="90" t="str">
        <f ca="1">"Шлюз"&amp;C4&amp;" ""Автон"" "&amp;"("&amp;C23&amp;C28&amp;C42&amp;C48&amp;")"</f>
        <v>Шлюз "Автон" (1м, LoRa)</v>
      </c>
      <c r="C78" s="91"/>
    </row>
    <row r="79" spans="1:9" ht="21.75" customHeight="1" x14ac:dyDescent="0.25">
      <c r="B79" s="89" t="str">
        <f ca="1">IF(AND(B15="требуется",B23="не требуется"),"Комплектуется разъёмом для блока питания",IF(AND(B15="требуется",B23="требуется"),"Комплектуется разъёмом питания 24В + RS485",""))</f>
        <v/>
      </c>
      <c r="C79" s="1"/>
    </row>
    <row r="80" spans="1:9" ht="122.25" customHeight="1" x14ac:dyDescent="0.2">
      <c r="B80" s="88" t="str">
        <f ca="1">C10&amp;
IF(C10="","",CHAR(10))
&amp;B79&amp;
IF(B79="","",CHAR(10))
&amp;C61&amp;
IF(C61="","",CHAR(10))
&amp;C72</f>
        <v/>
      </c>
      <c r="C80" s="88"/>
    </row>
    <row r="81" spans="3:3" ht="24.95" customHeight="1" x14ac:dyDescent="0.25">
      <c r="C81" s="1"/>
    </row>
    <row r="82" spans="3:3" ht="19.5" customHeight="1" x14ac:dyDescent="0.25">
      <c r="C82" s="1"/>
    </row>
    <row r="83" spans="3:3" ht="19.5" customHeight="1" x14ac:dyDescent="0.25"/>
    <row r="84" spans="3:3" ht="14.25" customHeight="1" x14ac:dyDescent="0.25"/>
    <row r="85" spans="3:3" ht="17.25" customHeight="1" x14ac:dyDescent="0.25"/>
    <row r="87" spans="3:3" ht="15" customHeight="1" x14ac:dyDescent="0.25"/>
    <row r="88" spans="3:3" ht="15" customHeight="1" x14ac:dyDescent="0.25"/>
    <row r="89" spans="3:3" ht="15" customHeight="1" x14ac:dyDescent="0.25"/>
    <row r="91" spans="3:3" ht="9" customHeight="1" x14ac:dyDescent="0.25"/>
    <row r="111" spans="1:2" ht="17.25" x14ac:dyDescent="0.3">
      <c r="A111" s="2"/>
      <c r="B111" s="10"/>
    </row>
  </sheetData>
  <mergeCells count="2">
    <mergeCell ref="A1:B1"/>
    <mergeCell ref="B80:C80"/>
  </mergeCells>
  <pageMargins left="0.6692913385826772" right="0.15748031496062992" top="0.35433070866141736" bottom="0.27559055118110237" header="0.19685039370078741" footer="0.23622047244094491"/>
  <pageSetup paperSize="9" scale="85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шлюз</vt:lpstr>
      <vt:lpstr>Лист1</vt:lpstr>
      <vt:lpstr>'Опросный лист шлюз'!Область_печати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2023-04-13T10:52:00Z</cp:lastPrinted>
  <dcterms:created xsi:type="dcterms:W3CDTF">2008-11-24T06:26:29Z</dcterms:created>
  <dcterms:modified xsi:type="dcterms:W3CDTF">2023-05-02T12:18:26Z</dcterms:modified>
</cp:coreProperties>
</file>