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10" windowWidth="13275" windowHeight="9765"/>
  </bookViews>
  <sheets>
    <sheet name="Опросный лист сигнализатор" sheetId="2" r:id="rId1"/>
    <sheet name="Лист1" sheetId="4" state="hidden" r:id="rId2"/>
  </sheets>
  <externalReferences>
    <externalReference r:id="rId3"/>
  </externalReferences>
  <definedNames>
    <definedName name="Test" localSheetId="1">#REF!</definedName>
    <definedName name="Test">#REF!</definedName>
    <definedName name="Арматура">'[1]Опросный лист термоманометр'!$L$94:$L$99</definedName>
    <definedName name="Без_пустых" localSheetId="1">IFERROR(INDEX(#REF!,SMALL(IF(#REF!&lt;&gt;#REF!,ROW(INDIRECT("1:"&amp;ROWS(#REF!))),""),ROW(INDIRECT("1:"&amp;ROWS(#REF!))))),"")</definedName>
    <definedName name="Без_пустых">IFERROR(INDEX(#REF!,SMALL(IF(#REF!&lt;&gt;#REF!,ROW(INDIRECT("1:"&amp;ROWS(#REF!))),""),ROW(INDIRECT("1:"&amp;ROWS(#REF!))))),"")</definedName>
    <definedName name="Без_пустых1" localSheetId="1">IFERROR(VLOOKUP(ROW(#REF!),#REF!,2,0),"")</definedName>
    <definedName name="Без_пустых1">IFERROR(VLOOKUP(ROW(#REF!),#REF!,2,0),"")</definedName>
    <definedName name="Гильза">OFFSET('[1]Опросный лист термоманометр'!$L$75:$N$78,0,'[1]Опросный лист термоманометр'!$I$24-1,,1)</definedName>
    <definedName name="Давление_ВПИ">'[1]Опросный лист термоманометр'!$L$4:$L$15</definedName>
    <definedName name="Давление_Погрешность">'[1]Опросный лист термоманометр'!$L$17:$L$22</definedName>
    <definedName name="Исполнение">'[1]Опросный лист термоманометр'!$L$87:$L$88</definedName>
    <definedName name="Кабель_Длина">OFFSET('[1]Опросный лист термоманометр'!$L$61:$N$69,0,'[1]Опросный лист термоманометр'!$I$24-1,,1)</definedName>
    <definedName name="Кабель_Защита">OFFSET('[1]Опросный лист термоманометр'!$L$71:$N$73,0,'[1]Опросный лист термоманометр'!$I$24-1,,1)</definedName>
    <definedName name="Кабель_Подключение">OFFSET('[1]Опросный лист термоманометр'!$L$57:$N$59,0,'[1]Опросный лист термоманометр'!$I$24-1,,1)</definedName>
    <definedName name="Конструктивное_исполнение" localSheetId="1">Лист1!#REF!</definedName>
    <definedName name="Конструктивное_исполнение">'Опросный лист сигнализатор'!#REF!</definedName>
    <definedName name="_xlnm.Print_Area" localSheetId="1">Лист1!#REF!</definedName>
    <definedName name="_xlnm.Print_Area" localSheetId="0">'Опросный лист сигнализатор'!$A$1:$F$37</definedName>
    <definedName name="Поверка">'[1]Опросный лист термоманометр'!$L$101:$L$102</definedName>
    <definedName name="Резьба">'[1]Опросный лист термоманометр'!$L$90:$L$92</definedName>
    <definedName name="Способ_подключения_кабеля_к_термощупу" localSheetId="1">#REF!</definedName>
    <definedName name="Способ_подключения_кабеля_к_термощупу">#REF!</definedName>
    <definedName name="Способы_крепления_термощупа" localSheetId="1">#REF!</definedName>
    <definedName name="Способы_крепления_термощупа">#REF!</definedName>
    <definedName name="Температура_Диапазон" localSheetId="1">Лист1!#REF!</definedName>
    <definedName name="Температура_Диапазон">'Опросный лист сигнализатор'!#REF!</definedName>
    <definedName name="Температура_Место">'[1]Опросный лист термоманометр'!$L$25:$L$27</definedName>
    <definedName name="Температура_Погрешность">OFFSET('[1]Опросный лист термоманометр'!$L$36:$N$38,0,'[1]Опросный лист термоманометр'!$I$24-1,,1)</definedName>
    <definedName name="Хранение_передача">'[1]Опросный лист термоманометр'!$L$80:$L$81</definedName>
    <definedName name="Щуп_Диаметр">OFFSET('[1]Опросный лист термоманометр'!$L$45:$N$49,0,'[1]Опросный лист термоманометр'!$I$24-1,,1)</definedName>
    <definedName name="Щуп_Длина">OFFSET('[1]Опросный лист термоманометр'!$L$40:$N$43,0,'[1]Опросный лист термоманометр'!$I$24-1,,1)</definedName>
    <definedName name="Щуп_Крепление">OFFSET('[1]Опросный лист термоманометр'!$L$51:$N$55,0,'[1]Опросный лист термоманометр'!$I$24-1,,1)</definedName>
  </definedNames>
  <calcPr calcId="144525"/>
</workbook>
</file>

<file path=xl/calcChain.xml><?xml version="1.0" encoding="utf-8"?>
<calcChain xmlns="http://schemas.openxmlformats.org/spreadsheetml/2006/main">
  <c r="B9" i="2" l="1"/>
  <c r="B10" i="2"/>
  <c r="B11" i="2"/>
  <c r="B12" i="2"/>
  <c r="D31" i="4" l="1"/>
  <c r="E30" i="4"/>
  <c r="D30" i="4"/>
  <c r="O31" i="4"/>
  <c r="E31" i="4" s="1"/>
  <c r="D26" i="4"/>
  <c r="E25" i="4"/>
  <c r="D25" i="4"/>
  <c r="O26" i="4"/>
  <c r="E26" i="4" s="1"/>
  <c r="E20" i="4"/>
  <c r="D21" i="4"/>
  <c r="D20" i="4"/>
  <c r="O21" i="4"/>
  <c r="E21" i="4" s="1"/>
  <c r="C36" i="2"/>
  <c r="C29" i="4" l="1"/>
  <c r="B29" i="4"/>
  <c r="C24" i="4"/>
  <c r="C19" i="4"/>
  <c r="B19" i="4"/>
  <c r="B24" i="4"/>
  <c r="E14" i="4"/>
  <c r="C58" i="4" l="1"/>
  <c r="B58" i="4"/>
  <c r="D14" i="4" l="1"/>
  <c r="M15" i="4"/>
  <c r="E15" i="4" s="1"/>
  <c r="D15" i="4" s="1"/>
  <c r="L16" i="4"/>
  <c r="E16" i="4" s="1"/>
  <c r="D16" i="4" s="1"/>
  <c r="B13" i="4" l="1"/>
  <c r="C13" i="4" s="1"/>
  <c r="A79" i="4" s="1"/>
  <c r="C32" i="2" s="1"/>
  <c r="B53" i="4" l="1"/>
  <c r="C53" i="4" s="1"/>
  <c r="B71" i="4"/>
  <c r="C71" i="4" s="1"/>
  <c r="B64" i="4"/>
  <c r="C64" i="4" s="1"/>
  <c r="E67" i="4"/>
  <c r="E50" i="4"/>
  <c r="A80" i="4" l="1"/>
  <c r="C33" i="2" s="1"/>
  <c r="E44" i="4"/>
  <c r="B4" i="4" l="1"/>
  <c r="C5" i="4" l="1"/>
  <c r="B77" i="4"/>
  <c r="A77" i="4"/>
  <c r="C4" i="4"/>
  <c r="B47" i="4"/>
  <c r="C47" i="4" s="1"/>
  <c r="A75" i="4" s="1"/>
  <c r="B34" i="4"/>
  <c r="C34" i="4" s="1"/>
  <c r="C30" i="2" l="1"/>
  <c r="C35" i="2"/>
</calcChain>
</file>

<file path=xl/sharedStrings.xml><?xml version="1.0" encoding="utf-8"?>
<sst xmlns="http://schemas.openxmlformats.org/spreadsheetml/2006/main" count="281" uniqueCount="90">
  <si>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</si>
  <si>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</si>
  <si>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</si>
  <si>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</si>
  <si>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</si>
  <si>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другое</t>
  </si>
  <si>
    <t>другая</t>
  </si>
  <si>
    <t>Количество, шт</t>
  </si>
  <si>
    <t>Дополнительные требования</t>
  </si>
  <si>
    <t>Если выбрано "другое", то впишите значение</t>
  </si>
  <si>
    <t>Код для заказа</t>
  </si>
  <si>
    <t>не требуется</t>
  </si>
  <si>
    <t>Защита кабеля</t>
  </si>
  <si>
    <t>без дополнительной защиты</t>
  </si>
  <si>
    <t>труба гофрированная полимерная</t>
  </si>
  <si>
    <t xml:space="preserve">другая </t>
  </si>
  <si>
    <t>Длина кабеля, м</t>
  </si>
  <si>
    <t>Выбранный вариант</t>
  </si>
  <si>
    <t>В спецификацию</t>
  </si>
  <si>
    <t/>
  </si>
  <si>
    <t>Кронштейн для крепления</t>
  </si>
  <si>
    <t>требуется</t>
  </si>
  <si>
    <t xml:space="preserve">Опросный лист на Сигнализатор "Автон" </t>
  </si>
  <si>
    <t>Конструктивное исполнение чувствительного элемента</t>
  </si>
  <si>
    <t>Опции</t>
  </si>
  <si>
    <t>Щ1</t>
  </si>
  <si>
    <t>Щ0</t>
  </si>
  <si>
    <t>ЩX</t>
  </si>
  <si>
    <t>Столбец1</t>
  </si>
  <si>
    <t>Столбец2</t>
  </si>
  <si>
    <t>, 1м</t>
  </si>
  <si>
    <t>, 1.5м</t>
  </si>
  <si>
    <t>, 2м</t>
  </si>
  <si>
    <t>, 2.5м</t>
  </si>
  <si>
    <t>, 3м</t>
  </si>
  <si>
    <t>, 4м</t>
  </si>
  <si>
    <t>, 5м</t>
  </si>
  <si>
    <t>, 7м</t>
  </si>
  <si>
    <t>, 10м</t>
  </si>
  <si>
    <t>, ТГ</t>
  </si>
  <si>
    <t>Прочая арматура</t>
  </si>
  <si>
    <t>, LoRa</t>
  </si>
  <si>
    <t>Комплектация:</t>
  </si>
  <si>
    <t>Паспорт</t>
  </si>
  <si>
    <t>Передача данных</t>
  </si>
  <si>
    <t>LoRaWAN + Bluetooth Low Energy</t>
  </si>
  <si>
    <t>NB-IoT + Bluetooth Low Energy</t>
  </si>
  <si>
    <t>, NB-IoT</t>
  </si>
  <si>
    <t>Дополнительная комплектация:</t>
  </si>
  <si>
    <t>Магнит в комплекте</t>
  </si>
  <si>
    <t>Ø20×3 мм</t>
  </si>
  <si>
    <r>
      <t>, АП</t>
    </r>
    <r>
      <rPr>
        <b/>
        <sz val="10"/>
        <rFont val="Arial"/>
        <family val="2"/>
        <charset val="204"/>
      </rPr>
      <t>X</t>
    </r>
  </si>
  <si>
    <t>другой</t>
  </si>
  <si>
    <t>Магнит: Ø20×3 мм</t>
  </si>
  <si>
    <t>Ø15×10 мм (по умолчанию)</t>
  </si>
  <si>
    <t>Поплавок Ø30×30 мм (по умолчанию)</t>
  </si>
  <si>
    <t>Рабочие условия эксплуатации</t>
  </si>
  <si>
    <t>Длина кабеля</t>
  </si>
  <si>
    <t>от -40 до +60 °C (индустриальный температурный диапазон)</t>
  </si>
  <si>
    <t>от -52 до +60 °C (низкотемпературный диапазон)</t>
  </si>
  <si>
    <t>, Н</t>
  </si>
  <si>
    <t>от -56 до +60 °C (расширенный низкотемпературный диапазон)</t>
  </si>
  <si>
    <t>, РН</t>
  </si>
  <si>
    <t>Щ2</t>
  </si>
  <si>
    <t>Щ3</t>
  </si>
  <si>
    <t>Щ4</t>
  </si>
  <si>
    <t>Длина щупа</t>
  </si>
  <si>
    <t>Диаметр щупа</t>
  </si>
  <si>
    <t>Крепление щупа</t>
  </si>
  <si>
    <t>130 мм</t>
  </si>
  <si>
    <t>10 мм</t>
  </si>
  <si>
    <t>-130мм</t>
  </si>
  <si>
    <t>-10мм</t>
  </si>
  <si>
    <t>М20х1.5</t>
  </si>
  <si>
    <t>, М20х1.5</t>
  </si>
  <si>
    <t>Сигнализатор "Автон"</t>
  </si>
  <si>
    <t>Столбец3</t>
  </si>
  <si>
    <t>Сигнализатор наличия жидкости "Автон"</t>
  </si>
  <si>
    <t>Сигнализатор наличия жидкости"Автон"</t>
  </si>
  <si>
    <t>Столбец4</t>
  </si>
  <si>
    <t>Преобразователь измерительный дискретного сигнала A555</t>
  </si>
  <si>
    <t>Преобразователь измерительный дискретного сигнала с датчиком Холла A555</t>
  </si>
  <si>
    <t>Соответствие текущему сертификату</t>
  </si>
  <si>
    <t>Столбец5</t>
  </si>
  <si>
    <t>Сборочная единица</t>
  </si>
  <si>
    <t>Сигнализатор дискретный A555.00.00</t>
  </si>
  <si>
    <t>Сигнализатор дискретный уровня масла A555.00.00-20</t>
  </si>
  <si>
    <t>Сигнализатор дискретный Холла A555.00.00-10</t>
  </si>
  <si>
    <t>Сигнализатор протечки A555.00.00-30</t>
  </si>
  <si>
    <t>Кронштейн A605.00.03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</si>
</sst>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2"/>
      <name val="Calibri"/>
      <family val="2"/>
      <charset val="204"/>
      <scheme val="minor"/>
    </font>
    <font>
      <b/>
      <i/>
      <u/>
      <sz val="10"/>
      <color theme="9" tint="-0.249977111117893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b/>
      <i/>
      <u/>
      <sz val="10"/>
      <color theme="0"/>
      <name val="Arial"/>
      <family val="2"/>
      <charset val="204"/>
    </font>
    <font>
      <b/>
      <sz val="14"/>
      <name val="Arial Cyr"/>
      <charset val="204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1E1E1E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NumberFormat="1" applyFont="1"/>
    <xf numFmtId="0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quotePrefix="1" applyFont="1"/>
    <xf numFmtId="0" fontId="8" fillId="5" borderId="0" xfId="0" applyFont="1" applyFill="1"/>
    <xf numFmtId="0" fontId="8" fillId="5" borderId="0" xfId="0" applyFont="1" applyFill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3" borderId="0" xfId="0" applyFont="1" applyFill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 applyFill="1" applyAlignment="1">
      <alignment vertical="top" wrapText="1"/>
    </xf>
    <xf numFmtId="0" fontId="8" fillId="0" borderId="1" xfId="0" applyFont="1" applyBorder="1"/>
    <xf numFmtId="0" fontId="8" fillId="0" borderId="1" xfId="0" quotePrefix="1" applyFont="1" applyBorder="1"/>
    <xf numFmtId="0" fontId="8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8" fillId="0" borderId="1" xfId="0" applyFont="1" applyBorder="1" applyAlignment="1"/>
    <xf numFmtId="0" fontId="1" fillId="0" borderId="3" xfId="0" applyFont="1" applyBorder="1" applyAlignment="1"/>
    <xf numFmtId="0" fontId="11" fillId="0" borderId="0" xfId="0" applyFont="1" applyAlignment="1" applyProtection="1">
      <protection locked="0"/>
    </xf>
    <xf numFmtId="0" fontId="9" fillId="0" borderId="0" xfId="0" applyNumberFormat="1" applyFont="1"/>
    <xf numFmtId="0" fontId="0" fillId="0" borderId="3" xfId="0" applyBorder="1"/>
    <xf numFmtId="0" fontId="6" fillId="0" borderId="3" xfId="0" applyFont="1" applyBorder="1" applyAlignment="1">
      <alignment vertical="center"/>
    </xf>
    <xf numFmtId="0" fontId="0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 applyProtection="1">
      <protection locked="0"/>
    </xf>
    <xf numFmtId="0" fontId="4" fillId="0" borderId="3" xfId="0" applyFont="1" applyBorder="1"/>
    <xf numFmtId="0" fontId="3" fillId="0" borderId="3" xfId="0" applyFont="1" applyBorder="1"/>
    <xf numFmtId="0" fontId="1" fillId="0" borderId="3" xfId="0" applyFont="1" applyBorder="1" applyAlignment="1">
      <alignment vertical="top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5" xfId="0" applyFill="1" applyBorder="1"/>
    <xf numFmtId="0" fontId="0" fillId="0" borderId="6" xfId="0" applyBorder="1"/>
    <xf numFmtId="0" fontId="0" fillId="3" borderId="4" xfId="0" applyFill="1" applyBorder="1"/>
    <xf numFmtId="0" fontId="1" fillId="3" borderId="4" xfId="0" applyFont="1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13" xfId="0" applyFill="1" applyBorder="1"/>
    <xf numFmtId="0" fontId="8" fillId="3" borderId="0" xfId="0" applyFont="1" applyFill="1"/>
    <xf numFmtId="0" fontId="9" fillId="0" borderId="0" xfId="0" applyFont="1"/>
    <xf numFmtId="0" fontId="8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right"/>
    </xf>
    <xf numFmtId="0" fontId="8" fillId="3" borderId="0" xfId="0" applyNumberFormat="1" applyFont="1" applyFill="1"/>
    <xf numFmtId="0" fontId="8" fillId="3" borderId="0" xfId="0" applyNumberFormat="1" applyFont="1" applyFill="1" applyAlignment="1">
      <alignment horizontal="left"/>
    </xf>
    <xf numFmtId="0" fontId="12" fillId="6" borderId="14" xfId="0" applyFont="1" applyFill="1" applyBorder="1"/>
    <xf numFmtId="0" fontId="12" fillId="0" borderId="14" xfId="0" applyFont="1" applyBorder="1"/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8" fillId="5" borderId="15" xfId="0" applyFont="1" applyFill="1" applyBorder="1" applyAlignment="1">
      <alignment horizontal="left"/>
    </xf>
  </cellXfs>
  <cellStyles count="1">
    <cellStyle name="Обычный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0" dropStyle="combo" dx="16" fmlaLink="Лист1!$A$34" fmlaRange="Лист1!$D$35:$D$44" noThreeD="1" val="0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Drop" dropLines="10" dropStyle="combo" dx="16" fmlaLink="Лист1!$A$19" fmlaRange="Лист1!$D$20:$D$21" noThreeD="1" val="0"/>
</file>

<file path=xl/ctrlProps/ctrlProp15.xml><?xml version="1.0" encoding="utf-8"?>
<formControlPr xmlns="http://schemas.microsoft.com/office/spreadsheetml/2009/9/main" objectType="Drop" dropLines="10" dropStyle="combo" dx="16" fmlaLink="Лист1!$A$24" fmlaRange="Лист1!$D$25:$D$26" noThreeD="1" val="0"/>
</file>

<file path=xl/ctrlProps/ctrlProp16.xml><?xml version="1.0" encoding="utf-8"?>
<formControlPr xmlns="http://schemas.microsoft.com/office/spreadsheetml/2009/9/main" objectType="Drop" dropLines="10" dropStyle="combo" dx="16" fmlaLink="Лист1!$A$29" fmlaRange="Лист1!$D$30:$D$31" noThreeD="1" val="0"/>
</file>

<file path=xl/ctrlProps/ctrlProp2.xml><?xml version="1.0" encoding="utf-8"?>
<formControlPr xmlns="http://schemas.microsoft.com/office/spreadsheetml/2009/9/main" objectType="Drop" dropStyle="combo" dx="16" fmlaLink="Лист1!$A$47" fmlaRange="Лист1!$D$48:$D$50" noThreeD="1" val="0"/>
</file>

<file path=xl/ctrlProps/ctrlProp3.xml><?xml version="1.0" encoding="utf-8"?>
<formControlPr xmlns="http://schemas.microsoft.com/office/spreadsheetml/2009/9/main" objectType="Drop" dropStyle="combo" dx="16" fmlaLink="Лист1!$A$64" fmlaRange="Лист1!$D$65:$D$67" noThreeD="1" val="0"/>
</file>

<file path=xl/ctrlProps/ctrlProp4.xml><?xml version="1.0" encoding="utf-8"?>
<formControlPr xmlns="http://schemas.microsoft.com/office/spreadsheetml/2009/9/main" objectType="Radio" checked="Checked" firstButton="1" fmlaLink="Лист1!$A$4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Lines="10" dropStyle="combo" dx="16" fmlaLink="Лист1!$A$53" fmlaRange="Лист1!$D$54" noThreeD="1" val="0"/>
</file>

<file path=xl/ctrlProps/ctrlProp8.xml><?xml version="1.0" encoding="utf-8"?>
<formControlPr xmlns="http://schemas.microsoft.com/office/spreadsheetml/2009/9/main" objectType="Drop" dropLines="10" dropStyle="combo" dx="16" fmlaLink="Лист1!$A$13" fmlaRange="Лист1!$D$14:$D$16" noThreeD="1" val="0"/>
</file>

<file path=xl/ctrlProps/ctrlProp9.xml><?xml version="1.0" encoding="utf-8"?>
<formControlPr xmlns="http://schemas.microsoft.com/office/spreadsheetml/2009/9/main" objectType="Drop" dropLines="10" dropStyle="combo" dx="16" fmlaLink="Лист1!$A$58" fmlaRange="Лист1!$D$59:$D$61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28575</xdr:rowOff>
        </xdr:from>
        <xdr:to>
          <xdr:col>3</xdr:col>
          <xdr:colOff>2857500</xdr:colOff>
          <xdr:row>12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19050</xdr:rowOff>
        </xdr:from>
        <xdr:to>
          <xdr:col>3</xdr:col>
          <xdr:colOff>2847975</xdr:colOff>
          <xdr:row>13</xdr:row>
          <xdr:rowOff>276225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28575</xdr:rowOff>
        </xdr:from>
        <xdr:to>
          <xdr:col>3</xdr:col>
          <xdr:colOff>2847975</xdr:colOff>
          <xdr:row>16</xdr:row>
          <xdr:rowOff>285750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38100</xdr:rowOff>
        </xdr:from>
        <xdr:to>
          <xdr:col>5</xdr:col>
          <xdr:colOff>1524000</xdr:colOff>
          <xdr:row>12</xdr:row>
          <xdr:rowOff>295275</xdr:rowOff>
        </xdr:to>
        <xdr:sp macro="" textlink="">
          <xdr:nvSpPr>
            <xdr:cNvPr id="2093" name="TextBox7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28575</xdr:rowOff>
        </xdr:from>
        <xdr:to>
          <xdr:col>5</xdr:col>
          <xdr:colOff>1524000</xdr:colOff>
          <xdr:row>13</xdr:row>
          <xdr:rowOff>285750</xdr:rowOff>
        </xdr:to>
        <xdr:sp macro="" textlink="">
          <xdr:nvSpPr>
            <xdr:cNvPr id="2094" name="TextBox8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28575</xdr:rowOff>
        </xdr:from>
        <xdr:to>
          <xdr:col>5</xdr:col>
          <xdr:colOff>1524000</xdr:colOff>
          <xdr:row>16</xdr:row>
          <xdr:rowOff>285750</xdr:rowOff>
        </xdr:to>
        <xdr:sp macro="" textlink="">
          <xdr:nvSpPr>
            <xdr:cNvPr id="2097" name="TextBox11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5</xdr:col>
          <xdr:colOff>1504950</xdr:colOff>
          <xdr:row>18</xdr:row>
          <xdr:rowOff>790575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20</xdr:row>
          <xdr:rowOff>57150</xdr:rowOff>
        </xdr:from>
        <xdr:to>
          <xdr:col>2</xdr:col>
          <xdr:colOff>2486025</xdr:colOff>
          <xdr:row>20</xdr:row>
          <xdr:rowOff>314325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1876425</xdr:colOff>
          <xdr:row>23</xdr:row>
          <xdr:rowOff>38100</xdr:rowOff>
        </xdr:from>
        <xdr:to>
          <xdr:col>5</xdr:col>
          <xdr:colOff>1495425</xdr:colOff>
          <xdr:row>23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24</xdr:row>
          <xdr:rowOff>38100</xdr:rowOff>
        </xdr:from>
        <xdr:to>
          <xdr:col>5</xdr:col>
          <xdr:colOff>1495425</xdr:colOff>
          <xdr:row>24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25</xdr:row>
          <xdr:rowOff>38100</xdr:rowOff>
        </xdr:from>
        <xdr:to>
          <xdr:col>5</xdr:col>
          <xdr:colOff>1495425</xdr:colOff>
          <xdr:row>25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26</xdr:row>
          <xdr:rowOff>38100</xdr:rowOff>
        </xdr:from>
        <xdr:to>
          <xdr:col>5</xdr:col>
          <xdr:colOff>1495425</xdr:colOff>
          <xdr:row>26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28575</xdr:rowOff>
        </xdr:from>
        <xdr:to>
          <xdr:col>5</xdr:col>
          <xdr:colOff>1524000</xdr:colOff>
          <xdr:row>7</xdr:row>
          <xdr:rowOff>0</xdr:rowOff>
        </xdr:to>
        <xdr:sp macro="" textlink="">
          <xdr:nvSpPr>
            <xdr:cNvPr id="2113" name="TextBox18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66675</xdr:rowOff>
        </xdr:from>
        <xdr:to>
          <xdr:col>2</xdr:col>
          <xdr:colOff>2295525</xdr:colOff>
          <xdr:row>3</xdr:row>
          <xdr:rowOff>266700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 виде гильзы, комплектуется магнитом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28575</xdr:rowOff>
        </xdr:from>
        <xdr:to>
          <xdr:col>3</xdr:col>
          <xdr:colOff>2847975</xdr:colOff>
          <xdr:row>6</xdr:row>
          <xdr:rowOff>295275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19050</xdr:rowOff>
        </xdr:from>
        <xdr:to>
          <xdr:col>2</xdr:col>
          <xdr:colOff>2266950</xdr:colOff>
          <xdr:row>4</xdr:row>
          <xdr:rowOff>790575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 виде гильзы с торцевым креплением на цилиндрическую поверхность для контроля уровня жидкости в байпасных уровнемерах, комплектуется магнитом на поплавке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571500</xdr:colOff>
      <xdr:row>3</xdr:row>
      <xdr:rowOff>352426</xdr:rowOff>
    </xdr:from>
    <xdr:to>
      <xdr:col>2</xdr:col>
      <xdr:colOff>1914525</xdr:colOff>
      <xdr:row>3</xdr:row>
      <xdr:rowOff>1197232</xdr:rowOff>
    </xdr:to>
    <xdr:pic>
      <xdr:nvPicPr>
        <xdr:cNvPr id="4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62076"/>
          <a:ext cx="1343025" cy="84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28575</xdr:rowOff>
        </xdr:from>
        <xdr:to>
          <xdr:col>3</xdr:col>
          <xdr:colOff>2857500</xdr:colOff>
          <xdr:row>14</xdr:row>
          <xdr:rowOff>295275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265248</xdr:colOff>
      <xdr:row>4</xdr:row>
      <xdr:rowOff>680205</xdr:rowOff>
    </xdr:from>
    <xdr:to>
      <xdr:col>2</xdr:col>
      <xdr:colOff>2009775</xdr:colOff>
      <xdr:row>4</xdr:row>
      <xdr:rowOff>2313968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098" y="3375780"/>
          <a:ext cx="1744527" cy="163376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3</xdr:col>
          <xdr:colOff>2857500</xdr:colOff>
          <xdr:row>8</xdr:row>
          <xdr:rowOff>295275</xdr:rowOff>
        </xdr:to>
        <xdr:sp macro="" textlink="">
          <xdr:nvSpPr>
            <xdr:cNvPr id="2153" name="Drop Dow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38100</xdr:rowOff>
        </xdr:from>
        <xdr:to>
          <xdr:col>5</xdr:col>
          <xdr:colOff>1524000</xdr:colOff>
          <xdr:row>8</xdr:row>
          <xdr:rowOff>295275</xdr:rowOff>
        </xdr:to>
        <xdr:sp macro="" textlink="">
          <xdr:nvSpPr>
            <xdr:cNvPr id="2154" name="TextBox1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28575</xdr:rowOff>
        </xdr:from>
        <xdr:to>
          <xdr:col>3</xdr:col>
          <xdr:colOff>2857500</xdr:colOff>
          <xdr:row>15</xdr:row>
          <xdr:rowOff>295275</xdr:rowOff>
        </xdr:to>
        <xdr:sp macro="" textlink="">
          <xdr:nvSpPr>
            <xdr:cNvPr id="2155" name="Drop Down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285750</xdr:colOff>
      <xdr:row>3</xdr:row>
      <xdr:rowOff>257176</xdr:rowOff>
    </xdr:from>
    <xdr:to>
      <xdr:col>3</xdr:col>
      <xdr:colOff>2264833</xdr:colOff>
      <xdr:row>3</xdr:row>
      <xdr:rowOff>1552576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1425" y="1362076"/>
          <a:ext cx="1979083" cy="1295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</xdr:row>
          <xdr:rowOff>66675</xdr:rowOff>
        </xdr:from>
        <xdr:to>
          <xdr:col>3</xdr:col>
          <xdr:colOff>2295525</xdr:colOff>
          <xdr:row>3</xdr:row>
          <xdr:rowOff>266700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"сухой контакт"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</xdr:row>
          <xdr:rowOff>295275</xdr:rowOff>
        </xdr:from>
        <xdr:to>
          <xdr:col>3</xdr:col>
          <xdr:colOff>2295525</xdr:colOff>
          <xdr:row>4</xdr:row>
          <xdr:rowOff>495300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датчик наличия жидкости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</xdr:row>
          <xdr:rowOff>47625</xdr:rowOff>
        </xdr:from>
        <xdr:to>
          <xdr:col>2</xdr:col>
          <xdr:colOff>2286000</xdr:colOff>
          <xdr:row>5</xdr:row>
          <xdr:rowOff>247650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датчик протечки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85725</xdr:rowOff>
        </xdr:from>
        <xdr:to>
          <xdr:col>3</xdr:col>
          <xdr:colOff>2286000</xdr:colOff>
          <xdr:row>5</xdr:row>
          <xdr:rowOff>285750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другой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347218</xdr:colOff>
      <xdr:row>4</xdr:row>
      <xdr:rowOff>570036</xdr:rowOff>
    </xdr:from>
    <xdr:to>
      <xdr:col>3</xdr:col>
      <xdr:colOff>1952626</xdr:colOff>
      <xdr:row>4</xdr:row>
      <xdr:rowOff>2057400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42893" y="3170361"/>
          <a:ext cx="1605408" cy="1487364"/>
        </a:xfrm>
        <a:prstGeom prst="rect">
          <a:avLst/>
        </a:prstGeom>
      </xdr:spPr>
    </xdr:pic>
    <xdr:clientData/>
  </xdr:twoCellAnchor>
  <xdr:twoCellAnchor editAs="oneCell">
    <xdr:from>
      <xdr:col>2</xdr:col>
      <xdr:colOff>303106</xdr:colOff>
      <xdr:row>5</xdr:row>
      <xdr:rowOff>400050</xdr:rowOff>
    </xdr:from>
    <xdr:to>
      <xdr:col>2</xdr:col>
      <xdr:colOff>2114580</xdr:colOff>
      <xdr:row>6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6956" y="5372100"/>
          <a:ext cx="1811474" cy="1133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28575</xdr:rowOff>
        </xdr:from>
        <xdr:to>
          <xdr:col>3</xdr:col>
          <xdr:colOff>2857500</xdr:colOff>
          <xdr:row>9</xdr:row>
          <xdr:rowOff>295275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28575</xdr:rowOff>
        </xdr:from>
        <xdr:to>
          <xdr:col>3</xdr:col>
          <xdr:colOff>2857500</xdr:colOff>
          <xdr:row>10</xdr:row>
          <xdr:rowOff>295275</xdr:rowOff>
        </xdr:to>
        <xdr:sp macro="" textlink="">
          <xdr:nvSpPr>
            <xdr:cNvPr id="2163" name="Drop Dow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3</xdr:col>
          <xdr:colOff>2857500</xdr:colOff>
          <xdr:row>11</xdr:row>
          <xdr:rowOff>295275</xdr:rowOff>
        </xdr:to>
        <xdr:sp macro="" textlink="">
          <xdr:nvSpPr>
            <xdr:cNvPr id="2164" name="Drop Dow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38100</xdr:rowOff>
        </xdr:from>
        <xdr:to>
          <xdr:col>5</xdr:col>
          <xdr:colOff>1524000</xdr:colOff>
          <xdr:row>9</xdr:row>
          <xdr:rowOff>295275</xdr:rowOff>
        </xdr:to>
        <xdr:sp macro="" textlink="">
          <xdr:nvSpPr>
            <xdr:cNvPr id="2165" name="TextBox2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38100</xdr:rowOff>
        </xdr:from>
        <xdr:to>
          <xdr:col>5</xdr:col>
          <xdr:colOff>1524000</xdr:colOff>
          <xdr:row>10</xdr:row>
          <xdr:rowOff>295275</xdr:rowOff>
        </xdr:to>
        <xdr:sp macro="" textlink="">
          <xdr:nvSpPr>
            <xdr:cNvPr id="2166" name="TextBox3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38100</xdr:rowOff>
        </xdr:from>
        <xdr:to>
          <xdr:col>5</xdr:col>
          <xdr:colOff>1524000</xdr:colOff>
          <xdr:row>11</xdr:row>
          <xdr:rowOff>295275</xdr:rowOff>
        </xdr:to>
        <xdr:sp macro="" textlink="">
          <xdr:nvSpPr>
            <xdr:cNvPr id="2167" name="TextBox4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rojects/A8x5/Doc/A835%20&#1058;&#1077;&#1088;&#1084;&#1086;&#1084;&#1072;&#1085;&#1086;&#1084;&#1077;&#1090;&#1088;.&#1054;&#1087;&#1088;&#1086;&#1089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термоманометр"/>
      <sheetName val="Справка"/>
      <sheetName val="Лист1"/>
    </sheetNames>
    <sheetDataSet>
      <sheetData sheetId="0">
        <row r="4">
          <cell r="L4">
            <v>0.6</v>
          </cell>
        </row>
        <row r="5">
          <cell r="L5">
            <v>1</v>
          </cell>
        </row>
        <row r="6">
          <cell r="L6">
            <v>1.6</v>
          </cell>
        </row>
        <row r="7">
          <cell r="L7">
            <v>2.5</v>
          </cell>
        </row>
        <row r="8">
          <cell r="L8">
            <v>4</v>
          </cell>
        </row>
        <row r="9">
          <cell r="L9">
            <v>6</v>
          </cell>
        </row>
        <row r="10">
          <cell r="L10">
            <v>10</v>
          </cell>
        </row>
        <row r="11">
          <cell r="L11">
            <v>16</v>
          </cell>
        </row>
        <row r="12">
          <cell r="L12">
            <v>25</v>
          </cell>
        </row>
        <row r="13">
          <cell r="L13">
            <v>40</v>
          </cell>
        </row>
        <row r="14">
          <cell r="L14">
            <v>60</v>
          </cell>
        </row>
        <row r="15">
          <cell r="L15" t="str">
            <v>другое</v>
          </cell>
        </row>
        <row r="17">
          <cell r="L17">
            <v>0.15</v>
          </cell>
        </row>
        <row r="18">
          <cell r="L18">
            <v>0.25</v>
          </cell>
        </row>
        <row r="19">
          <cell r="L19">
            <v>0.5</v>
          </cell>
        </row>
        <row r="20">
          <cell r="L20">
            <v>1</v>
          </cell>
        </row>
        <row r="21">
          <cell r="L21">
            <v>1.5</v>
          </cell>
        </row>
        <row r="22">
          <cell r="L22" t="str">
            <v>другое</v>
          </cell>
        </row>
        <row r="24">
          <cell r="I24">
            <v>1</v>
          </cell>
        </row>
        <row r="25">
          <cell r="L25" t="str">
            <v>корпус датчика</v>
          </cell>
        </row>
        <row r="26">
          <cell r="L26" t="str">
            <v>встроенный погружной термощуп (жидкость или газ)</v>
          </cell>
        </row>
        <row r="27">
          <cell r="L27" t="str">
            <v>выносной погружной термощуп (жидкость или газ)</v>
          </cell>
        </row>
        <row r="36">
          <cell r="L36">
            <v>0.5</v>
          </cell>
          <cell r="M36">
            <v>0.5</v>
          </cell>
          <cell r="N36">
            <v>2</v>
          </cell>
        </row>
        <row r="37">
          <cell r="L37">
            <v>1</v>
          </cell>
          <cell r="M37">
            <v>1</v>
          </cell>
          <cell r="N37">
            <v>1</v>
          </cell>
        </row>
        <row r="38">
          <cell r="L38">
            <v>2</v>
          </cell>
          <cell r="M38">
            <v>2</v>
          </cell>
          <cell r="N38" t="str">
            <v>0.5</v>
          </cell>
        </row>
        <row r="40">
          <cell r="M40">
            <v>46</v>
          </cell>
          <cell r="N40">
            <v>46</v>
          </cell>
        </row>
        <row r="41">
          <cell r="M41">
            <v>64</v>
          </cell>
          <cell r="N41">
            <v>64</v>
          </cell>
        </row>
        <row r="42">
          <cell r="M42">
            <v>100</v>
          </cell>
          <cell r="N42">
            <v>100</v>
          </cell>
        </row>
        <row r="43">
          <cell r="M43" t="str">
            <v>другая</v>
          </cell>
          <cell r="N43" t="str">
            <v>другая</v>
          </cell>
        </row>
        <row r="45">
          <cell r="M45">
            <v>5</v>
          </cell>
          <cell r="N45">
            <v>5</v>
          </cell>
        </row>
        <row r="46">
          <cell r="M46">
            <v>6</v>
          </cell>
          <cell r="N46">
            <v>6</v>
          </cell>
        </row>
        <row r="47">
          <cell r="M47">
            <v>8</v>
          </cell>
          <cell r="N47">
            <v>8</v>
          </cell>
        </row>
        <row r="48">
          <cell r="M48">
            <v>10</v>
          </cell>
          <cell r="N48">
            <v>10</v>
          </cell>
        </row>
        <row r="49">
          <cell r="M49" t="str">
            <v>другой</v>
          </cell>
          <cell r="N49" t="str">
            <v>другой</v>
          </cell>
        </row>
        <row r="51">
          <cell r="N51" t="str">
            <v>штуцер подвижный</v>
          </cell>
        </row>
        <row r="52">
          <cell r="N52" t="str">
            <v>штуцер приварной</v>
          </cell>
        </row>
        <row r="53">
          <cell r="N53" t="str">
            <v>штуцер подпружиненный</v>
          </cell>
        </row>
        <row r="54">
          <cell r="N54" t="str">
            <v>фланец</v>
          </cell>
        </row>
        <row r="55">
          <cell r="N55" t="str">
            <v>другой</v>
          </cell>
        </row>
        <row r="57">
          <cell r="N57" t="str">
            <v>бескорпусной с выводами</v>
          </cell>
        </row>
        <row r="58">
          <cell r="N58" t="str">
            <v>коммутационная (клеммная) головка</v>
          </cell>
        </row>
        <row r="59">
          <cell r="N59" t="str">
            <v>другой</v>
          </cell>
        </row>
        <row r="61">
          <cell r="N61">
            <v>1</v>
          </cell>
        </row>
        <row r="62">
          <cell r="N62">
            <v>1.5</v>
          </cell>
        </row>
        <row r="63">
          <cell r="N63">
            <v>2</v>
          </cell>
        </row>
        <row r="64">
          <cell r="N64">
            <v>2.5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7</v>
          </cell>
        </row>
        <row r="69">
          <cell r="N69">
            <v>10</v>
          </cell>
        </row>
        <row r="71">
          <cell r="N71" t="str">
            <v>без дополнительной защиты</v>
          </cell>
        </row>
        <row r="72">
          <cell r="N72" t="str">
            <v>труба гофрированная полимерная</v>
          </cell>
        </row>
        <row r="73">
          <cell r="N73" t="str">
            <v xml:space="preserve">другая </v>
          </cell>
        </row>
        <row r="75">
          <cell r="M75" t="str">
            <v>не требуется</v>
          </cell>
          <cell r="N75" t="str">
            <v>не требуется</v>
          </cell>
        </row>
        <row r="76">
          <cell r="M76" t="str">
            <v>М20х1.5</v>
          </cell>
          <cell r="N76" t="str">
            <v>М20х1.5</v>
          </cell>
        </row>
        <row r="77">
          <cell r="M77" t="str">
            <v>G1/2</v>
          </cell>
          <cell r="N77" t="str">
            <v>G1/2</v>
          </cell>
        </row>
        <row r="78">
          <cell r="M78" t="str">
            <v>другая</v>
          </cell>
          <cell r="N78" t="str">
            <v>другая</v>
          </cell>
        </row>
        <row r="80">
          <cell r="L80" t="str">
            <v>LoRaWAN</v>
          </cell>
        </row>
        <row r="81">
          <cell r="L81" t="str">
            <v>нет</v>
          </cell>
        </row>
        <row r="87">
          <cell r="L87" t="str">
            <v>обычное</v>
          </cell>
        </row>
        <row r="88">
          <cell r="L88" t="str">
            <v>коррозионно-стойкое</v>
          </cell>
        </row>
        <row r="90">
          <cell r="L90" t="str">
            <v>М20х1.5</v>
          </cell>
        </row>
        <row r="91">
          <cell r="L91" t="str">
            <v>G1/2</v>
          </cell>
        </row>
        <row r="92">
          <cell r="L92" t="str">
            <v>другая</v>
          </cell>
        </row>
        <row r="94">
          <cell r="L94" t="str">
            <v>не требуется</v>
          </cell>
        </row>
        <row r="95">
          <cell r="L95" t="str">
            <v>кронштейн Г-образный</v>
          </cell>
        </row>
        <row r="96">
          <cell r="L96" t="str">
            <v>отвод-охладитель</v>
          </cell>
        </row>
        <row r="97">
          <cell r="L97" t="str">
            <v>клапан, отвод-охладитель</v>
          </cell>
        </row>
        <row r="98">
          <cell r="L98" t="str">
            <v>блок вентильный, гильза защитная</v>
          </cell>
        </row>
        <row r="99">
          <cell r="L99" t="str">
            <v>другая</v>
          </cell>
        </row>
        <row r="101">
          <cell r="L101" t="str">
            <v>не требуется</v>
          </cell>
        </row>
        <row r="102">
          <cell r="L102" t="str">
            <v>требуется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а1" displayName="Таблица1" ref="D4:H10" totalsRowShown="0" headerRowDxfId="46" dataDxfId="45">
  <autoFilter ref="D4:H10"/>
  <tableColumns count="5">
    <tableColumn id="1" name="Столбец1" dataDxfId="44"/>
    <tableColumn id="2" name="Столбец2" dataDxfId="43"/>
    <tableColumn id="3" name="Столбец3" dataDxfId="42"/>
    <tableColumn id="4" name="Столбец4" dataDxfId="41"/>
    <tableColumn id="5" name="Столбец5" dataDxfId="40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1" name="Таблица812" displayName="Таблица812" ref="D24:E26" totalsRowShown="0" headerRowDxfId="7" dataDxfId="6">
  <autoFilter ref="D24:E26"/>
  <tableColumns count="2">
    <tableColumn id="1" name="Столбец1" dataDxfId="5">
      <calculatedColumnFormula>OFFSET(F25,0,$A$4-1,,)</calculatedColumnFormula>
    </tableColumn>
    <tableColumn id="2" name="Столбец2" dataDxfId="4">
      <calculatedColumnFormula>OFFSET(L25,0,$A$4-1,,)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2" name="Таблица81213" displayName="Таблица81213" ref="D29:E31" totalsRowShown="0" headerRowDxfId="3" dataDxfId="2">
  <autoFilter ref="D29:E31"/>
  <tableColumns count="2">
    <tableColumn id="1" name="Столбец1" dataDxfId="1">
      <calculatedColumnFormula>OFFSET(F30,0,$A$4-1,,)</calculatedColumnFormula>
    </tableColumn>
    <tableColumn id="2" name="Столбец2" dataDxfId="0">
      <calculatedColumnFormula>OFFSET(L30,0,$A$4-1,,)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D34:E44" totalsRowShown="0" headerRowDxfId="39" dataDxfId="38">
  <autoFilter ref="D34:E44"/>
  <tableColumns count="2">
    <tableColumn id="1" name="Столбец1" dataDxfId="37"/>
    <tableColumn id="2" name="Столбец2" dataDxfId="3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D47:E50" totalsRowShown="0" headerRowDxfId="35" dataDxfId="34">
  <autoFilter ref="D47:E50"/>
  <tableColumns count="2">
    <tableColumn id="1" name="Столбец1" dataDxfId="33"/>
    <tableColumn id="2" name="Столбец2" dataDxfId="3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64:E67" totalsRowShown="0" headerRowDxfId="31" dataDxfId="30">
  <autoFilter ref="D64:E67"/>
  <tableColumns count="2">
    <tableColumn id="1" name="Столбец1" dataDxfId="29"/>
    <tableColumn id="2" name="Столбец2" dataDxfId="28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70:E72" totalsRowShown="0" headerRowDxfId="27" dataDxfId="26">
  <autoFilter ref="D70:E72"/>
  <tableColumns count="2">
    <tableColumn id="1" name="Столбец1" dataDxfId="25"/>
    <tableColumn id="2" name="Столбец2" dataDxfId="24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6" name="Таблица2" displayName="Таблица2" ref="D53:E55" totalsRowShown="0" headerRowDxfId="23" dataDxfId="22">
  <autoFilter ref="D53:E55"/>
  <tableColumns count="2">
    <tableColumn id="1" name="Столбец1" dataDxfId="21"/>
    <tableColumn id="2" name="Столбец2" dataDxfId="20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7" name="Таблица48" displayName="Таблица48" ref="D13:E16" totalsRowShown="0" headerRowDxfId="19" dataDxfId="18">
  <autoFilter ref="D13:E16"/>
  <tableColumns count="2">
    <tableColumn id="1" name="Столбец1" dataDxfId="17">
      <calculatedColumnFormula>OFFSET(F14,0,$A$4-1,,)</calculatedColumnFormula>
    </tableColumn>
    <tableColumn id="2" name="Столбец2" dataDxfId="16">
      <calculatedColumnFormula>OFFSET(L14,0,$A$4-1,,)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D58:E61" totalsRowShown="0" headerRowDxfId="15" dataDxfId="14">
  <autoFilter ref="D58:E61"/>
  <tableColumns count="2">
    <tableColumn id="1" name="Столбец1" dataDxfId="13"/>
    <tableColumn id="2" name="Столбец2" dataDxfId="12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8" name="Таблица8" displayName="Таблица8" ref="D19:E21" totalsRowShown="0" headerRowDxfId="11" dataDxfId="10">
  <autoFilter ref="D19:E21"/>
  <tableColumns count="2">
    <tableColumn id="1" name="Столбец1" dataDxfId="9">
      <calculatedColumnFormula>OFFSET(F20,0,$A$4-1,,)</calculatedColumnFormula>
    </tableColumn>
    <tableColumn id="2" name="Столбец2" dataDxfId="8">
      <calculatedColumnFormula>OFFSET(L20,0,$A$4-1,,)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image" Target="../media/image5.emf"/><Relationship Id="rId26" Type="http://schemas.openxmlformats.org/officeDocument/2006/relationships/ctrlProp" Target="../ctrlProps/ctrlProp2.xml"/><Relationship Id="rId39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2.xml"/><Relationship Id="rId34" Type="http://schemas.openxmlformats.org/officeDocument/2006/relationships/ctrlProp" Target="../ctrlProps/ctrlProp10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0.xml"/><Relationship Id="rId25" Type="http://schemas.openxmlformats.org/officeDocument/2006/relationships/ctrlProp" Target="../ctrlProps/ctrlProp1.xml"/><Relationship Id="rId33" Type="http://schemas.openxmlformats.org/officeDocument/2006/relationships/ctrlProp" Target="../ctrlProps/ctrlProp9.xml"/><Relationship Id="rId38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20" Type="http://schemas.openxmlformats.org/officeDocument/2006/relationships/image" Target="../media/image6.emf"/><Relationship Id="rId29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4.xml"/><Relationship Id="rId32" Type="http://schemas.openxmlformats.org/officeDocument/2006/relationships/ctrlProp" Target="../ctrlProps/ctrlProp8.xml"/><Relationship Id="rId37" Type="http://schemas.openxmlformats.org/officeDocument/2006/relationships/ctrlProp" Target="../ctrlProps/ctrlProp13.xml"/><Relationship Id="rId40" Type="http://schemas.openxmlformats.org/officeDocument/2006/relationships/ctrlProp" Target="../ctrlProps/ctrlProp16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image" Target="../media/image7.emf"/><Relationship Id="rId28" Type="http://schemas.openxmlformats.org/officeDocument/2006/relationships/ctrlProp" Target="../ctrlProps/ctrlProp4.xml"/><Relationship Id="rId36" Type="http://schemas.openxmlformats.org/officeDocument/2006/relationships/ctrlProp" Target="../ctrlProps/ctrlProp12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1.xml"/><Relationship Id="rId31" Type="http://schemas.openxmlformats.org/officeDocument/2006/relationships/ctrlProp" Target="../ctrlProps/ctrlProp7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image" Target="../media/image3.emf"/><Relationship Id="rId22" Type="http://schemas.openxmlformats.org/officeDocument/2006/relationships/control" Target="../activeX/activeX13.xml"/><Relationship Id="rId27" Type="http://schemas.openxmlformats.org/officeDocument/2006/relationships/ctrlProp" Target="../ctrlProps/ctrlProp3.xml"/><Relationship Id="rId30" Type="http://schemas.openxmlformats.org/officeDocument/2006/relationships/ctrlProp" Target="../ctrlProps/ctrlProp6.xml"/><Relationship Id="rId35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G37"/>
  <sheetViews>
    <sheetView tabSelected="1" zoomScaleNormal="100" workbookViewId="0">
      <selection activeCell="D45" sqref="D45"/>
    </sheetView>
  </sheetViews>
  <sheetFormatPr defaultRowHeight="12.75" x14ac:dyDescent="0.2"/>
  <cols>
    <col min="1" max="1" width="1.5703125" customWidth="1"/>
    <col min="2" max="2" width="3.28515625" customWidth="1"/>
    <col min="3" max="3" width="47.5703125" customWidth="1"/>
    <col min="4" max="4" width="43" customWidth="1"/>
    <col min="5" max="5" width="2.5703125" customWidth="1"/>
    <col min="6" max="6" width="23.140625" customWidth="1"/>
    <col min="7" max="7" width="4.140625" style="1" customWidth="1"/>
    <col min="8" max="9" width="13.28515625" customWidth="1"/>
    <col min="10" max="12" width="6.140625" customWidth="1"/>
    <col min="13" max="13" width="5.28515625" customWidth="1"/>
    <col min="14" max="15" width="19.28515625" customWidth="1"/>
  </cols>
  <sheetData>
    <row r="1" spans="1:6" ht="46.5" customHeight="1" x14ac:dyDescent="0.25">
      <c r="A1" s="29"/>
      <c r="B1" s="29"/>
      <c r="C1" s="30" t="s">
        <v>22</v>
      </c>
      <c r="D1" s="31"/>
      <c r="E1" s="29"/>
      <c r="F1" s="32" t="s">
        <v>9</v>
      </c>
    </row>
    <row r="2" spans="1:6" ht="10.5" customHeight="1" x14ac:dyDescent="0.25">
      <c r="A2" s="29"/>
      <c r="B2" s="33"/>
      <c r="C2" s="33"/>
      <c r="D2" s="33"/>
      <c r="E2" s="33"/>
      <c r="F2" s="32"/>
    </row>
    <row r="3" spans="1:6" ht="22.5" customHeight="1" x14ac:dyDescent="0.25">
      <c r="A3" s="29"/>
      <c r="B3" s="34" t="s">
        <v>23</v>
      </c>
      <c r="C3" s="29"/>
      <c r="D3" s="29"/>
      <c r="E3" s="29"/>
      <c r="F3" s="35" t="s">
        <v>19</v>
      </c>
    </row>
    <row r="4" spans="1:6" ht="125.25" customHeight="1" x14ac:dyDescent="0.25">
      <c r="A4" s="29"/>
      <c r="B4" s="26"/>
      <c r="C4" s="29"/>
      <c r="D4" s="29"/>
      <c r="E4" s="29"/>
      <c r="F4" s="35"/>
    </row>
    <row r="5" spans="1:6" ht="186.75" customHeight="1" x14ac:dyDescent="0.25">
      <c r="A5" s="29"/>
      <c r="B5" s="26"/>
      <c r="C5" s="29"/>
      <c r="D5" s="29"/>
      <c r="E5" s="29"/>
      <c r="F5" s="35"/>
    </row>
    <row r="6" spans="1:6" ht="120" customHeight="1" x14ac:dyDescent="0.25">
      <c r="A6" s="29"/>
      <c r="B6" s="26"/>
      <c r="C6" s="29"/>
      <c r="D6" s="29"/>
      <c r="E6" s="29"/>
      <c r="F6" s="35"/>
    </row>
    <row r="7" spans="1:6" ht="24.75" customHeight="1" x14ac:dyDescent="0.25">
      <c r="A7" s="29"/>
      <c r="B7" s="26"/>
      <c r="C7" s="29"/>
      <c r="D7" s="29"/>
      <c r="E7" s="29"/>
      <c r="F7" s="35" t="s">
        <v>19</v>
      </c>
    </row>
    <row r="8" spans="1:6" ht="6" customHeight="1" x14ac:dyDescent="0.25">
      <c r="A8" s="29"/>
      <c r="B8" s="26"/>
      <c r="C8" s="29"/>
      <c r="D8" s="29"/>
      <c r="E8" s="29"/>
      <c r="F8" s="35"/>
    </row>
    <row r="9" spans="1:6" ht="24" customHeight="1" x14ac:dyDescent="0.25">
      <c r="A9" s="29"/>
      <c r="B9" s="26" t="str">
        <f>IF(Лист1!A4&lt;3,"Магнит в комплекте","")</f>
        <v>Магнит в комплекте</v>
      </c>
      <c r="C9" s="29"/>
      <c r="D9" s="29"/>
      <c r="E9" s="29"/>
      <c r="F9" s="35" t="s">
        <v>19</v>
      </c>
    </row>
    <row r="10" spans="1:6" ht="24" customHeight="1" x14ac:dyDescent="0.25">
      <c r="A10" s="29"/>
      <c r="B10" s="26" t="str">
        <f>IF(Лист1!A4=4,"Длина щупа","")</f>
        <v/>
      </c>
      <c r="C10" s="29"/>
      <c r="D10" s="29"/>
      <c r="E10" s="29"/>
      <c r="F10" s="35" t="s">
        <v>19</v>
      </c>
    </row>
    <row r="11" spans="1:6" ht="24" customHeight="1" x14ac:dyDescent="0.25">
      <c r="A11" s="29"/>
      <c r="B11" s="26" t="str">
        <f>IF(Лист1!A4=4,"Диаметр щупа","")</f>
        <v/>
      </c>
      <c r="C11" s="29"/>
      <c r="D11" s="29"/>
      <c r="E11" s="29"/>
      <c r="F11" s="35" t="s">
        <v>19</v>
      </c>
    </row>
    <row r="12" spans="1:6" ht="24" customHeight="1" x14ac:dyDescent="0.25">
      <c r="A12" s="29"/>
      <c r="B12" s="26" t="str">
        <f>IF(Лист1!A4=4,"Крепление щупа","")</f>
        <v/>
      </c>
      <c r="C12" s="29"/>
      <c r="D12" s="29"/>
      <c r="E12" s="29"/>
      <c r="F12" s="35" t="s">
        <v>19</v>
      </c>
    </row>
    <row r="13" spans="1:6" ht="25.5" customHeight="1" x14ac:dyDescent="0.25">
      <c r="A13" s="29"/>
      <c r="B13" s="26" t="s">
        <v>16</v>
      </c>
      <c r="C13" s="29"/>
      <c r="D13" s="33"/>
      <c r="E13" s="33"/>
      <c r="F13" s="36" t="s">
        <v>19</v>
      </c>
    </row>
    <row r="14" spans="1:6" ht="25.5" customHeight="1" x14ac:dyDescent="0.25">
      <c r="A14" s="29"/>
      <c r="B14" s="33" t="s">
        <v>12</v>
      </c>
      <c r="C14" s="29"/>
      <c r="D14" s="33"/>
      <c r="E14" s="33"/>
      <c r="F14" s="36" t="s">
        <v>19</v>
      </c>
    </row>
    <row r="15" spans="1:6" ht="27" customHeight="1" x14ac:dyDescent="0.25">
      <c r="A15" s="29"/>
      <c r="B15" s="26" t="s">
        <v>44</v>
      </c>
      <c r="C15" s="29"/>
      <c r="D15" s="33"/>
      <c r="E15" s="29"/>
      <c r="F15" s="35"/>
    </row>
    <row r="16" spans="1:6" ht="27" customHeight="1" x14ac:dyDescent="0.25">
      <c r="A16" s="29"/>
      <c r="B16" s="26" t="s">
        <v>56</v>
      </c>
      <c r="C16" s="29"/>
      <c r="D16" s="33"/>
      <c r="E16" s="29"/>
      <c r="F16" s="35"/>
    </row>
    <row r="17" spans="1:6" ht="25.5" customHeight="1" x14ac:dyDescent="0.25">
      <c r="A17" s="29"/>
      <c r="B17" s="33" t="s">
        <v>20</v>
      </c>
      <c r="C17" s="33"/>
      <c r="D17" s="33"/>
      <c r="E17" s="33"/>
      <c r="F17" s="36" t="s">
        <v>19</v>
      </c>
    </row>
    <row r="18" spans="1:6" ht="9" customHeight="1" x14ac:dyDescent="0.2">
      <c r="A18" s="29"/>
      <c r="B18" s="29"/>
      <c r="C18" s="29"/>
      <c r="D18" s="29"/>
      <c r="E18" s="29"/>
      <c r="F18" s="35"/>
    </row>
    <row r="19" spans="1:6" ht="64.5" customHeight="1" x14ac:dyDescent="0.25">
      <c r="A19" s="29"/>
      <c r="B19" s="37" t="s">
        <v>8</v>
      </c>
      <c r="C19" s="33"/>
      <c r="D19" s="36" t="s">
        <v>19</v>
      </c>
      <c r="E19" s="33"/>
      <c r="F19" s="36"/>
    </row>
    <row r="20" spans="1:6" ht="15.75" x14ac:dyDescent="0.25">
      <c r="A20" s="29"/>
      <c r="B20" s="33"/>
      <c r="C20" s="33"/>
      <c r="D20" s="33"/>
      <c r="E20" s="33"/>
      <c r="F20" s="33"/>
    </row>
    <row r="21" spans="1:6" ht="25.5" customHeight="1" x14ac:dyDescent="0.25">
      <c r="A21" s="29"/>
      <c r="B21" s="33" t="s">
        <v>7</v>
      </c>
      <c r="C21" s="33"/>
      <c r="D21" s="36"/>
      <c r="E21" s="33"/>
      <c r="F21" s="33"/>
    </row>
    <row r="22" spans="1:6" x14ac:dyDescent="0.2">
      <c r="A22" s="29"/>
      <c r="B22" s="29"/>
      <c r="C22" s="29"/>
      <c r="D22" s="35"/>
      <c r="E22" s="29"/>
      <c r="F22" s="29"/>
    </row>
    <row r="23" spans="1:6" ht="15.75" x14ac:dyDescent="0.25">
      <c r="A23" s="29"/>
      <c r="B23" s="33" t="s">
        <v>0</v>
      </c>
      <c r="C23" s="33"/>
      <c r="D23" s="35"/>
      <c r="E23" s="29"/>
      <c r="F23" s="29"/>
    </row>
    <row r="24" spans="1:6" ht="24.95" customHeight="1" x14ac:dyDescent="0.25">
      <c r="A24" s="29"/>
      <c r="B24" s="33"/>
      <c r="C24" s="33" t="s">
        <v>1</v>
      </c>
      <c r="D24" s="38"/>
      <c r="E24" s="39"/>
      <c r="F24" s="29"/>
    </row>
    <row r="25" spans="1:6" ht="24.95" customHeight="1" x14ac:dyDescent="0.25">
      <c r="A25" s="29"/>
      <c r="B25" s="33"/>
      <c r="C25" s="33" t="s">
        <v>2</v>
      </c>
      <c r="D25" s="38"/>
      <c r="E25" s="39"/>
      <c r="F25" s="29"/>
    </row>
    <row r="26" spans="1:6" ht="24.95" customHeight="1" x14ac:dyDescent="0.25">
      <c r="A26" s="29"/>
      <c r="B26" s="33"/>
      <c r="C26" s="33" t="s">
        <v>3</v>
      </c>
      <c r="D26" s="38" t="s">
        <v>19</v>
      </c>
      <c r="E26" s="39"/>
      <c r="F26" s="29"/>
    </row>
    <row r="27" spans="1:6" ht="24.95" customHeight="1" x14ac:dyDescent="0.25">
      <c r="A27" s="29"/>
      <c r="B27" s="33"/>
      <c r="C27" s="33" t="s">
        <v>4</v>
      </c>
      <c r="D27" s="38"/>
      <c r="E27" s="39"/>
      <c r="F27" s="29"/>
    </row>
    <row r="28" spans="1:6" ht="16.5" customHeight="1" x14ac:dyDescent="0.2">
      <c r="A28" s="41"/>
      <c r="B28" s="41"/>
      <c r="C28" s="41"/>
      <c r="D28" s="41"/>
      <c r="E28" s="41"/>
      <c r="F28" s="29"/>
    </row>
    <row r="29" spans="1:6" ht="15.75" x14ac:dyDescent="0.25">
      <c r="A29" s="42"/>
      <c r="B29" s="43" t="s">
        <v>10</v>
      </c>
      <c r="C29" s="43"/>
      <c r="D29" s="42"/>
      <c r="E29" s="42"/>
      <c r="F29" s="40"/>
    </row>
    <row r="30" spans="1:6" ht="15.75" x14ac:dyDescent="0.25">
      <c r="A30" s="42"/>
      <c r="B30" s="43"/>
      <c r="C30" s="63" t="str">
        <f ca="1">Лист1!A75</f>
        <v>Сигнализатор "Автон" (Щ0, 1м, LoRa)</v>
      </c>
      <c r="D30" s="63"/>
      <c r="E30" s="42"/>
      <c r="F30" s="40"/>
    </row>
    <row r="31" spans="1:6" ht="17.25" customHeight="1" x14ac:dyDescent="0.25">
      <c r="A31" s="42"/>
      <c r="B31" s="43" t="s">
        <v>48</v>
      </c>
      <c r="C31" s="46"/>
      <c r="D31" s="46"/>
      <c r="E31" s="42"/>
      <c r="F31" s="40"/>
    </row>
    <row r="32" spans="1:6" ht="17.25" customHeight="1" x14ac:dyDescent="0.25">
      <c r="A32" s="42"/>
      <c r="B32" s="44"/>
      <c r="C32" s="64" t="str">
        <f ca="1">Лист1!A79</f>
        <v/>
      </c>
      <c r="D32" s="65"/>
      <c r="E32" s="45"/>
      <c r="F32" s="40"/>
    </row>
    <row r="33" spans="1:6" ht="15.75" x14ac:dyDescent="0.25">
      <c r="A33" s="42"/>
      <c r="B33" s="44"/>
      <c r="C33" s="64" t="str">
        <f>Лист1!A80</f>
        <v/>
      </c>
      <c r="D33" s="65"/>
      <c r="E33" s="45"/>
      <c r="F33" s="40"/>
    </row>
    <row r="34" spans="1:6" ht="15.75" x14ac:dyDescent="0.25">
      <c r="A34" s="42"/>
      <c r="B34" s="43" t="s">
        <v>8</v>
      </c>
      <c r="C34" s="49"/>
      <c r="D34" s="49"/>
      <c r="E34" s="42"/>
      <c r="F34" s="40"/>
    </row>
    <row r="35" spans="1:6" ht="58.5" customHeight="1" x14ac:dyDescent="0.2">
      <c r="A35" s="42"/>
      <c r="B35" s="48"/>
      <c r="C35" s="61" t="str">
        <f>D19</f>
        <v/>
      </c>
      <c r="D35" s="62"/>
      <c r="E35" s="45"/>
      <c r="F35" s="40"/>
    </row>
    <row r="36" spans="1:6" ht="33.75" customHeight="1" x14ac:dyDescent="0.2">
      <c r="A36" s="42"/>
      <c r="B36" s="48"/>
      <c r="C36" s="61" t="str">
        <f>IF(Лист1!A4=6,"Конструктивное исполнение чувствительного элемента: "&amp;F7,"")</f>
        <v/>
      </c>
      <c r="D36" s="62"/>
      <c r="E36" s="45"/>
      <c r="F36" s="40"/>
    </row>
    <row r="37" spans="1:6" ht="9" customHeight="1" x14ac:dyDescent="0.2">
      <c r="A37" s="42"/>
      <c r="B37" s="42"/>
      <c r="C37" s="47"/>
      <c r="D37" s="47"/>
      <c r="E37" s="42"/>
      <c r="F37" s="40"/>
    </row>
  </sheetData>
  <mergeCells count="5">
    <mergeCell ref="C36:D36"/>
    <mergeCell ref="C35:D35"/>
    <mergeCell ref="C30:D30"/>
    <mergeCell ref="C33:D33"/>
    <mergeCell ref="C32:D32"/>
  </mergeCells>
  <pageMargins left="0.6692913385826772" right="0.15748031496062992" top="0.35433070866141736" bottom="0.39" header="0.19685039370078741" footer="0.32"/>
  <pageSetup paperSize="9" scale="78" fitToHeight="2" orientation="portrait" r:id="rId1"/>
  <rowBreaks count="1" manualBreakCount="1">
    <brk id="20" max="5" man="1"/>
  </rowBreaks>
  <drawing r:id="rId2"/>
  <legacyDrawing r:id="rId3"/>
  <controls>
    <mc:AlternateContent xmlns:mc="http://schemas.openxmlformats.org/markup-compatibility/2006">
      <mc:Choice Requires="x14">
        <control shapeId="2167" r:id="rId4" name="TextBox4">
          <controlPr defaultSize="0" autoLine="0" autoPict="0" linkedCell="F12" r:id="rId5">
            <anchor moveWithCells="1">
              <from>
                <xdr:col>5</xdr:col>
                <xdr:colOff>19050</xdr:colOff>
                <xdr:row>11</xdr:row>
                <xdr:rowOff>38100</xdr:rowOff>
              </from>
              <to>
                <xdr:col>5</xdr:col>
                <xdr:colOff>1524000</xdr:colOff>
                <xdr:row>11</xdr:row>
                <xdr:rowOff>295275</xdr:rowOff>
              </to>
            </anchor>
          </controlPr>
        </control>
      </mc:Choice>
      <mc:Fallback>
        <control shapeId="2167" r:id="rId4" name="TextBox4"/>
      </mc:Fallback>
    </mc:AlternateContent>
    <mc:AlternateContent xmlns:mc="http://schemas.openxmlformats.org/markup-compatibility/2006">
      <mc:Choice Requires="x14">
        <control shapeId="2166" r:id="rId6" name="TextBox3">
          <controlPr defaultSize="0" autoLine="0" autoPict="0" linkedCell="F11" r:id="rId5">
            <anchor moveWithCells="1">
              <from>
                <xdr:col>5</xdr:col>
                <xdr:colOff>19050</xdr:colOff>
                <xdr:row>10</xdr:row>
                <xdr:rowOff>38100</xdr:rowOff>
              </from>
              <to>
                <xdr:col>5</xdr:col>
                <xdr:colOff>1524000</xdr:colOff>
                <xdr:row>10</xdr:row>
                <xdr:rowOff>295275</xdr:rowOff>
              </to>
            </anchor>
          </controlPr>
        </control>
      </mc:Choice>
      <mc:Fallback>
        <control shapeId="2166" r:id="rId6" name="TextBox3"/>
      </mc:Fallback>
    </mc:AlternateContent>
    <mc:AlternateContent xmlns:mc="http://schemas.openxmlformats.org/markup-compatibility/2006">
      <mc:Choice Requires="x14">
        <control shapeId="2165" r:id="rId7" name="TextBox2">
          <controlPr defaultSize="0" autoLine="0" autoPict="0" linkedCell="F10" r:id="rId5">
            <anchor moveWithCells="1">
              <from>
                <xdr:col>5</xdr:col>
                <xdr:colOff>19050</xdr:colOff>
                <xdr:row>9</xdr:row>
                <xdr:rowOff>38100</xdr:rowOff>
              </from>
              <to>
                <xdr:col>5</xdr:col>
                <xdr:colOff>1524000</xdr:colOff>
                <xdr:row>9</xdr:row>
                <xdr:rowOff>295275</xdr:rowOff>
              </to>
            </anchor>
          </controlPr>
        </control>
      </mc:Choice>
      <mc:Fallback>
        <control shapeId="2165" r:id="rId7" name="TextBox2"/>
      </mc:Fallback>
    </mc:AlternateContent>
    <mc:AlternateContent xmlns:mc="http://schemas.openxmlformats.org/markup-compatibility/2006">
      <mc:Choice Requires="x14">
        <control shapeId="2098" r:id="rId8" name="TextBox12">
          <controlPr defaultSize="0" autoLine="0" autoPict="0" linkedCell="D19" r:id="rId9">
            <anchor moveWithCells="1">
              <from>
                <xdr:col>3</xdr:col>
                <xdr:colOff>19050</xdr:colOff>
                <xdr:row>18</xdr:row>
                <xdr:rowOff>9525</xdr:rowOff>
              </from>
              <to>
                <xdr:col>5</xdr:col>
                <xdr:colOff>1504950</xdr:colOff>
                <xdr:row>18</xdr:row>
                <xdr:rowOff>790575</xdr:rowOff>
              </to>
            </anchor>
          </controlPr>
        </control>
      </mc:Choice>
      <mc:Fallback>
        <control shapeId="2098" r:id="rId8" name="TextBox12"/>
      </mc:Fallback>
    </mc:AlternateContent>
    <mc:AlternateContent xmlns:mc="http://schemas.openxmlformats.org/markup-compatibility/2006">
      <mc:Choice Requires="x14">
        <control shapeId="2097" r:id="rId10" name="TextBox11">
          <controlPr defaultSize="0" autoLine="0" autoPict="0" linkedCell="F17" r:id="rId5">
            <anchor moveWithCells="1">
              <from>
                <xdr:col>5</xdr:col>
                <xdr:colOff>19050</xdr:colOff>
                <xdr:row>16</xdr:row>
                <xdr:rowOff>28575</xdr:rowOff>
              </from>
              <to>
                <xdr:col>5</xdr:col>
                <xdr:colOff>1524000</xdr:colOff>
                <xdr:row>16</xdr:row>
                <xdr:rowOff>285750</xdr:rowOff>
              </to>
            </anchor>
          </controlPr>
        </control>
      </mc:Choice>
      <mc:Fallback>
        <control shapeId="2097" r:id="rId10" name="TextBox11"/>
      </mc:Fallback>
    </mc:AlternateContent>
    <mc:AlternateContent xmlns:mc="http://schemas.openxmlformats.org/markup-compatibility/2006">
      <mc:Choice Requires="x14">
        <control shapeId="2094" r:id="rId11" name="TextBox8">
          <controlPr defaultSize="0" autoLine="0" autoPict="0" linkedCell="F14" r:id="rId5">
            <anchor moveWithCells="1">
              <from>
                <xdr:col>5</xdr:col>
                <xdr:colOff>19050</xdr:colOff>
                <xdr:row>13</xdr:row>
                <xdr:rowOff>28575</xdr:rowOff>
              </from>
              <to>
                <xdr:col>5</xdr:col>
                <xdr:colOff>1524000</xdr:colOff>
                <xdr:row>13</xdr:row>
                <xdr:rowOff>285750</xdr:rowOff>
              </to>
            </anchor>
          </controlPr>
        </control>
      </mc:Choice>
      <mc:Fallback>
        <control shapeId="2094" r:id="rId11" name="TextBox8"/>
      </mc:Fallback>
    </mc:AlternateContent>
    <mc:AlternateContent xmlns:mc="http://schemas.openxmlformats.org/markup-compatibility/2006">
      <mc:Choice Requires="x14">
        <control shapeId="2093" r:id="rId12" name="TextBox7">
          <controlPr defaultSize="0" autoLine="0" autoPict="0" linkedCell="F13" r:id="rId5">
            <anchor moveWithCells="1">
              <from>
                <xdr:col>5</xdr:col>
                <xdr:colOff>19050</xdr:colOff>
                <xdr:row>12</xdr:row>
                <xdr:rowOff>38100</xdr:rowOff>
              </from>
              <to>
                <xdr:col>5</xdr:col>
                <xdr:colOff>1524000</xdr:colOff>
                <xdr:row>12</xdr:row>
                <xdr:rowOff>295275</xdr:rowOff>
              </to>
            </anchor>
          </controlPr>
        </control>
      </mc:Choice>
      <mc:Fallback>
        <control shapeId="2093" r:id="rId12" name="TextBox7"/>
      </mc:Fallback>
    </mc:AlternateContent>
    <mc:AlternateContent xmlns:mc="http://schemas.openxmlformats.org/markup-compatibility/2006">
      <mc:Choice Requires="x14">
        <control shapeId="2099" r:id="rId13" name="TextBox13">
          <controlPr defaultSize="0" autoLine="0" autoPict="0" linkedCell="D21" r:id="rId14">
            <anchor moveWithCells="1">
              <from>
                <xdr:col>2</xdr:col>
                <xdr:colOff>1057275</xdr:colOff>
                <xdr:row>20</xdr:row>
                <xdr:rowOff>57150</xdr:rowOff>
              </from>
              <to>
                <xdr:col>2</xdr:col>
                <xdr:colOff>2486025</xdr:colOff>
                <xdr:row>20</xdr:row>
                <xdr:rowOff>314325</xdr:rowOff>
              </to>
            </anchor>
          </controlPr>
        </control>
      </mc:Choice>
      <mc:Fallback>
        <control shapeId="2099" r:id="rId13" name="TextBox13"/>
      </mc:Fallback>
    </mc:AlternateContent>
    <mc:AlternateContent xmlns:mc="http://schemas.openxmlformats.org/markup-compatibility/2006">
      <mc:Choice Requires="x14">
        <control shapeId="2100" r:id="rId15" name="TextBox14">
          <controlPr defaultSize="0" autoLine="0" autoPict="0" linkedCell="D24" r:id="rId16">
            <anchor moveWithCells="1">
              <from>
                <xdr:col>2</xdr:col>
                <xdr:colOff>1876425</xdr:colOff>
                <xdr:row>23</xdr:row>
                <xdr:rowOff>38100</xdr:rowOff>
              </from>
              <to>
                <xdr:col>5</xdr:col>
                <xdr:colOff>1495425</xdr:colOff>
                <xdr:row>23</xdr:row>
                <xdr:rowOff>295275</xdr:rowOff>
              </to>
            </anchor>
          </controlPr>
        </control>
      </mc:Choice>
      <mc:Fallback>
        <control shapeId="2100" r:id="rId15" name="TextBox14"/>
      </mc:Fallback>
    </mc:AlternateContent>
    <mc:AlternateContent xmlns:mc="http://schemas.openxmlformats.org/markup-compatibility/2006">
      <mc:Choice Requires="x14">
        <control shapeId="2101" r:id="rId17" name="TextBox15">
          <controlPr defaultSize="0" autoLine="0" autoPict="0" linkedCell="D25" r:id="rId18">
            <anchor moveWithCells="1">
              <from>
                <xdr:col>2</xdr:col>
                <xdr:colOff>857250</xdr:colOff>
                <xdr:row>24</xdr:row>
                <xdr:rowOff>38100</xdr:rowOff>
              </from>
              <to>
                <xdr:col>5</xdr:col>
                <xdr:colOff>1495425</xdr:colOff>
                <xdr:row>24</xdr:row>
                <xdr:rowOff>295275</xdr:rowOff>
              </to>
            </anchor>
          </controlPr>
        </control>
      </mc:Choice>
      <mc:Fallback>
        <control shapeId="2101" r:id="rId17" name="TextBox15"/>
      </mc:Fallback>
    </mc:AlternateContent>
    <mc:AlternateContent xmlns:mc="http://schemas.openxmlformats.org/markup-compatibility/2006">
      <mc:Choice Requires="x14">
        <control shapeId="2102" r:id="rId19" name="TextBox16">
          <controlPr defaultSize="0" autoLine="0" autoPict="0" linkedCell="D26" r:id="rId20">
            <anchor moveWithCells="1">
              <from>
                <xdr:col>2</xdr:col>
                <xdr:colOff>1219200</xdr:colOff>
                <xdr:row>25</xdr:row>
                <xdr:rowOff>38100</xdr:rowOff>
              </from>
              <to>
                <xdr:col>5</xdr:col>
                <xdr:colOff>1495425</xdr:colOff>
                <xdr:row>25</xdr:row>
                <xdr:rowOff>295275</xdr:rowOff>
              </to>
            </anchor>
          </controlPr>
        </control>
      </mc:Choice>
      <mc:Fallback>
        <control shapeId="2102" r:id="rId19" name="TextBox16"/>
      </mc:Fallback>
    </mc:AlternateContent>
    <mc:AlternateContent xmlns:mc="http://schemas.openxmlformats.org/markup-compatibility/2006">
      <mc:Choice Requires="x14">
        <control shapeId="2103" r:id="rId21" name="TextBox17">
          <controlPr defaultSize="0" autoLine="0" autoPict="0" linkedCell="D27" r:id="rId20">
            <anchor moveWithCells="1">
              <from>
                <xdr:col>2</xdr:col>
                <xdr:colOff>1219200</xdr:colOff>
                <xdr:row>26</xdr:row>
                <xdr:rowOff>38100</xdr:rowOff>
              </from>
              <to>
                <xdr:col>5</xdr:col>
                <xdr:colOff>1495425</xdr:colOff>
                <xdr:row>26</xdr:row>
                <xdr:rowOff>295275</xdr:rowOff>
              </to>
            </anchor>
          </controlPr>
        </control>
      </mc:Choice>
      <mc:Fallback>
        <control shapeId="2103" r:id="rId21" name="TextBox17"/>
      </mc:Fallback>
    </mc:AlternateContent>
    <mc:AlternateContent xmlns:mc="http://schemas.openxmlformats.org/markup-compatibility/2006">
      <mc:Choice Requires="x14">
        <control shapeId="2113" r:id="rId22" name="TextBox18">
          <controlPr defaultSize="0" autoLine="0" autoPict="0" linkedCell="F7" r:id="rId23">
            <anchor moveWithCells="1">
              <from>
                <xdr:col>5</xdr:col>
                <xdr:colOff>19050</xdr:colOff>
                <xdr:row>6</xdr:row>
                <xdr:rowOff>28575</xdr:rowOff>
              </from>
              <to>
                <xdr:col>5</xdr:col>
                <xdr:colOff>1524000</xdr:colOff>
                <xdr:row>7</xdr:row>
                <xdr:rowOff>0</xdr:rowOff>
              </to>
            </anchor>
          </controlPr>
        </control>
      </mc:Choice>
      <mc:Fallback>
        <control shapeId="2113" r:id="rId22" name="TextBox18"/>
      </mc:Fallback>
    </mc:AlternateContent>
    <mc:AlternateContent xmlns:mc="http://schemas.openxmlformats.org/markup-compatibility/2006">
      <mc:Choice Requires="x14">
        <control shapeId="2154" r:id="rId24" name="TextBox1">
          <controlPr defaultSize="0" autoLine="0" autoPict="0" linkedCell="F9" r:id="rId5">
            <anchor moveWithCells="1">
              <from>
                <xdr:col>5</xdr:col>
                <xdr:colOff>19050</xdr:colOff>
                <xdr:row>8</xdr:row>
                <xdr:rowOff>38100</xdr:rowOff>
              </from>
              <to>
                <xdr:col>5</xdr:col>
                <xdr:colOff>1524000</xdr:colOff>
                <xdr:row>8</xdr:row>
                <xdr:rowOff>295275</xdr:rowOff>
              </to>
            </anchor>
          </controlPr>
        </control>
      </mc:Choice>
      <mc:Fallback>
        <control shapeId="2154" r:id="rId24" name="TextBox1"/>
      </mc:Fallback>
    </mc:AlternateContent>
    <mc:AlternateContent xmlns:mc="http://schemas.openxmlformats.org/markup-compatibility/2006">
      <mc:Choice Requires="x14">
        <control shapeId="2050" r:id="rId25" name="Drop Down 2">
          <controlPr defaultSize="0" autoLine="0" autoPict="0">
            <anchor moveWithCells="1">
              <from>
                <xdr:col>3</xdr:col>
                <xdr:colOff>38100</xdr:colOff>
                <xdr:row>12</xdr:row>
                <xdr:rowOff>28575</xdr:rowOff>
              </from>
              <to>
                <xdr:col>3</xdr:col>
                <xdr:colOff>2857500</xdr:colOff>
                <xdr:row>12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26" name="Drop Down 12">
          <controlPr defaultSize="0" autoLine="0" autoPict="0">
            <anchor moveWithCells="1">
              <from>
                <xdr:col>3</xdr:col>
                <xdr:colOff>28575</xdr:colOff>
                <xdr:row>13</xdr:row>
                <xdr:rowOff>19050</xdr:rowOff>
              </from>
              <to>
                <xdr:col>3</xdr:col>
                <xdr:colOff>2847975</xdr:colOff>
                <xdr:row>13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7" name="Drop Down 13">
          <controlPr defaultSize="0" autoLine="0" autoPict="0">
            <anchor moveWithCells="1">
              <from>
                <xdr:col>3</xdr:col>
                <xdr:colOff>28575</xdr:colOff>
                <xdr:row>16</xdr:row>
                <xdr:rowOff>28575</xdr:rowOff>
              </from>
              <to>
                <xdr:col>3</xdr:col>
                <xdr:colOff>2847975</xdr:colOff>
                <xdr:row>16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6" r:id="rId28" name="Option Button 78">
          <controlPr defaultSize="0" autoFill="0" autoLine="0" autoPict="0">
            <anchor moveWithCells="1">
              <from>
                <xdr:col>2</xdr:col>
                <xdr:colOff>95250</xdr:colOff>
                <xdr:row>3</xdr:row>
                <xdr:rowOff>66675</xdr:rowOff>
              </from>
              <to>
                <xdr:col>2</xdr:col>
                <xdr:colOff>2295525</xdr:colOff>
                <xdr:row>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7" r:id="rId29" name="Group Box 79">
          <controlPr defaultSize="0" autoFill="0" autoPict="0">
            <anchor moveWithCells="1">
              <from>
                <xdr:col>2</xdr:col>
                <xdr:colOff>19050</xdr:colOff>
                <xdr:row>3</xdr:row>
                <xdr:rowOff>28575</xdr:rowOff>
              </from>
              <to>
                <xdr:col>3</xdr:col>
                <xdr:colOff>2847975</xdr:colOff>
                <xdr:row>6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8" r:id="rId30" name="Option Button 80">
          <controlPr defaultSize="0" autoFill="0" autoLine="0" autoPict="0">
            <anchor moveWithCells="1">
              <from>
                <xdr:col>2</xdr:col>
                <xdr:colOff>66675</xdr:colOff>
                <xdr:row>4</xdr:row>
                <xdr:rowOff>19050</xdr:rowOff>
              </from>
              <to>
                <xdr:col>2</xdr:col>
                <xdr:colOff>2266950</xdr:colOff>
                <xdr:row>4</xdr:row>
                <xdr:rowOff>790575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2" r:id="rId31" name="Drop Down 104">
          <controlPr defaultSize="0" autoLine="0" autoPict="0">
            <anchor moveWithCells="1">
              <from>
                <xdr:col>3</xdr:col>
                <xdr:colOff>38100</xdr:colOff>
                <xdr:row>14</xdr:row>
                <xdr:rowOff>28575</xdr:rowOff>
              </from>
              <to>
                <xdr:col>3</xdr:col>
                <xdr:colOff>2857500</xdr:colOff>
                <xdr:row>14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3" r:id="rId32" name="Drop Down 105">
          <controlPr defaultSize="0" autoLine="0" autoPict="0">
            <anchor moveWithCells="1">
              <from>
                <xdr:col>3</xdr:col>
                <xdr:colOff>38100</xdr:colOff>
                <xdr:row>8</xdr:row>
                <xdr:rowOff>28575</xdr:rowOff>
              </from>
              <to>
                <xdr:col>3</xdr:col>
                <xdr:colOff>2857500</xdr:colOff>
                <xdr:row>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5" r:id="rId33" name="Drop Down 107">
          <controlPr defaultSize="0" autoLine="0" autoPict="0">
            <anchor moveWithCells="1">
              <from>
                <xdr:col>3</xdr:col>
                <xdr:colOff>38100</xdr:colOff>
                <xdr:row>15</xdr:row>
                <xdr:rowOff>28575</xdr:rowOff>
              </from>
              <to>
                <xdr:col>3</xdr:col>
                <xdr:colOff>2857500</xdr:colOff>
                <xdr:row>15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6" r:id="rId34" name="Option Button 108">
          <controlPr defaultSize="0" autoFill="0" autoLine="0" autoPict="0">
            <anchor moveWithCells="1">
              <from>
                <xdr:col>3</xdr:col>
                <xdr:colOff>95250</xdr:colOff>
                <xdr:row>3</xdr:row>
                <xdr:rowOff>66675</xdr:rowOff>
              </from>
              <to>
                <xdr:col>3</xdr:col>
                <xdr:colOff>2295525</xdr:colOff>
                <xdr:row>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7" r:id="rId35" name="Option Button 109">
          <controlPr defaultSize="0" autoFill="0" autoLine="0" autoPict="0">
            <anchor moveWithCells="1">
              <from>
                <xdr:col>3</xdr:col>
                <xdr:colOff>95250</xdr:colOff>
                <xdr:row>4</xdr:row>
                <xdr:rowOff>295275</xdr:rowOff>
              </from>
              <to>
                <xdr:col>3</xdr:col>
                <xdr:colOff>2295525</xdr:colOff>
                <xdr:row>4</xdr:row>
                <xdr:rowOff>495300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9" r:id="rId36" name="Option Button 111">
          <controlPr defaultSize="0" autoFill="0" autoLine="0" autoPict="0">
            <anchor moveWithCells="1">
              <from>
                <xdr:col>2</xdr:col>
                <xdr:colOff>85725</xdr:colOff>
                <xdr:row>5</xdr:row>
                <xdr:rowOff>47625</xdr:rowOff>
              </from>
              <to>
                <xdr:col>2</xdr:col>
                <xdr:colOff>2286000</xdr:colOff>
                <xdr:row>5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1" r:id="rId37" name="Option Button 113">
          <controlPr defaultSize="0" autoFill="0" autoLine="0" autoPict="0">
            <anchor moveWithCells="1">
              <from>
                <xdr:col>3</xdr:col>
                <xdr:colOff>85725</xdr:colOff>
                <xdr:row>5</xdr:row>
                <xdr:rowOff>85725</xdr:rowOff>
              </from>
              <to>
                <xdr:col>3</xdr:col>
                <xdr:colOff>2286000</xdr:colOff>
                <xdr:row>5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2" r:id="rId38" name="Drop Down 114">
          <controlPr defaultSize="0" autoLine="0" autoPict="0">
            <anchor moveWithCells="1">
              <from>
                <xdr:col>3</xdr:col>
                <xdr:colOff>38100</xdr:colOff>
                <xdr:row>9</xdr:row>
                <xdr:rowOff>28575</xdr:rowOff>
              </from>
              <to>
                <xdr:col>3</xdr:col>
                <xdr:colOff>2857500</xdr:colOff>
                <xdr:row>9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3" r:id="rId39" name="Drop Down 115">
          <controlPr defaultSize="0" autoLine="0" autoPict="0">
            <anchor moveWithCells="1">
              <from>
                <xdr:col>3</xdr:col>
                <xdr:colOff>38100</xdr:colOff>
                <xdr:row>10</xdr:row>
                <xdr:rowOff>28575</xdr:rowOff>
              </from>
              <to>
                <xdr:col>3</xdr:col>
                <xdr:colOff>2857500</xdr:colOff>
                <xdr:row>10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4" r:id="rId40" name="Drop Down 116">
          <controlPr defaultSize="0" autoLine="0" autoPict="0">
            <anchor moveWithCells="1">
              <from>
                <xdr:col>3</xdr:col>
                <xdr:colOff>38100</xdr:colOff>
                <xdr:row>11</xdr:row>
                <xdr:rowOff>28575</xdr:rowOff>
              </from>
              <to>
                <xdr:col>3</xdr:col>
                <xdr:colOff>2857500</xdr:colOff>
                <xdr:row>11</xdr:row>
                <xdr:rowOff>295275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Q112"/>
  <sheetViews>
    <sheetView topLeftCell="A46" zoomScaleNormal="100" workbookViewId="0">
      <selection activeCell="A76" sqref="A76"/>
    </sheetView>
  </sheetViews>
  <sheetFormatPr defaultRowHeight="16.5" customHeight="1" x14ac:dyDescent="0.2"/>
  <cols>
    <col min="1" max="1" width="27.7109375" style="4" customWidth="1"/>
    <col min="2" max="2" width="25.5703125" style="5" customWidth="1"/>
    <col min="3" max="4" width="25.5703125" style="4" customWidth="1"/>
    <col min="5" max="5" width="45" style="4" customWidth="1"/>
    <col min="6" max="6" width="20.7109375" style="4" customWidth="1"/>
    <col min="7" max="7" width="25.140625" style="4" customWidth="1"/>
    <col min="8" max="8" width="19.85546875" style="4" customWidth="1"/>
    <col min="9" max="9" width="9.85546875" style="4" customWidth="1"/>
    <col min="10" max="10" width="12.5703125" style="4" customWidth="1"/>
    <col min="11" max="12" width="13.28515625" style="4" customWidth="1"/>
    <col min="13" max="13" width="9.85546875" style="4" customWidth="1"/>
    <col min="14" max="14" width="6.140625" style="4" customWidth="1"/>
    <col min="15" max="15" width="10.5703125" style="4" customWidth="1"/>
    <col min="16" max="16" width="16.7109375" style="4" customWidth="1"/>
    <col min="17" max="18" width="19.28515625" style="4" customWidth="1"/>
    <col min="19" max="16384" width="9.140625" style="4"/>
  </cols>
  <sheetData>
    <row r="1" spans="1:17" ht="16.5" customHeight="1" x14ac:dyDescent="0.2">
      <c r="A1" s="66" t="s">
        <v>17</v>
      </c>
      <c r="B1" s="66"/>
      <c r="C1" s="12" t="s">
        <v>18</v>
      </c>
      <c r="D1" s="12" t="s">
        <v>24</v>
      </c>
    </row>
    <row r="2" spans="1:17" ht="16.5" customHeight="1" x14ac:dyDescent="0.2">
      <c r="A2" s="12"/>
      <c r="B2" s="13"/>
      <c r="C2" s="12"/>
    </row>
    <row r="3" spans="1:17" ht="16.5" customHeight="1" x14ac:dyDescent="0.25">
      <c r="A3" s="27" t="s">
        <v>23</v>
      </c>
      <c r="B3" s="13"/>
      <c r="C3" s="12"/>
      <c r="G3" s="4" t="s">
        <v>84</v>
      </c>
      <c r="H3" s="4" t="s">
        <v>82</v>
      </c>
    </row>
    <row r="4" spans="1:17" ht="16.5" customHeight="1" x14ac:dyDescent="0.2">
      <c r="A4" s="50">
        <v>1</v>
      </c>
      <c r="B4" s="52">
        <f>INDEX(D5:D10,A4,1)</f>
        <v>1</v>
      </c>
      <c r="C4" s="50" t="str">
        <f>VLOOKUP(B4,Таблица1[#All],2,)</f>
        <v>Щ0</v>
      </c>
      <c r="D4" s="4" t="s">
        <v>28</v>
      </c>
      <c r="E4" s="4" t="s">
        <v>29</v>
      </c>
      <c r="F4" s="21" t="s">
        <v>76</v>
      </c>
      <c r="G4" s="4" t="s">
        <v>79</v>
      </c>
      <c r="H4" s="4" t="s">
        <v>83</v>
      </c>
    </row>
    <row r="5" spans="1:17" ht="16.5" customHeight="1" x14ac:dyDescent="0.2">
      <c r="C5" s="50" t="str">
        <f>VLOOKUP(B4,Таблица1[#All],3,)</f>
        <v>Сигнализатор "Автон"</v>
      </c>
      <c r="D5" s="4">
        <v>1</v>
      </c>
      <c r="E5" s="4" t="s">
        <v>26</v>
      </c>
      <c r="F5" s="21" t="s">
        <v>75</v>
      </c>
      <c r="G5" s="57" t="s">
        <v>87</v>
      </c>
      <c r="H5" s="4" t="s">
        <v>81</v>
      </c>
    </row>
    <row r="6" spans="1:17" ht="16.5" customHeight="1" x14ac:dyDescent="0.2">
      <c r="D6" s="4">
        <v>2</v>
      </c>
      <c r="E6" s="4" t="s">
        <v>25</v>
      </c>
      <c r="F6" s="21" t="s">
        <v>75</v>
      </c>
      <c r="G6" s="58" t="s">
        <v>86</v>
      </c>
      <c r="H6" s="4" t="s">
        <v>81</v>
      </c>
    </row>
    <row r="7" spans="1:17" ht="16.5" customHeight="1" x14ac:dyDescent="0.2">
      <c r="D7" s="4">
        <v>3</v>
      </c>
      <c r="E7" s="4" t="s">
        <v>63</v>
      </c>
      <c r="F7" s="21" t="s">
        <v>75</v>
      </c>
      <c r="G7" s="57" t="s">
        <v>85</v>
      </c>
      <c r="H7" s="4" t="s">
        <v>80</v>
      </c>
    </row>
    <row r="8" spans="1:17" ht="16.5" customHeight="1" x14ac:dyDescent="0.2">
      <c r="D8" s="4">
        <v>4</v>
      </c>
      <c r="E8" s="4" t="s">
        <v>64</v>
      </c>
      <c r="F8" s="21" t="s">
        <v>77</v>
      </c>
      <c r="G8" s="58" t="s">
        <v>88</v>
      </c>
      <c r="H8" s="4" t="s">
        <v>80</v>
      </c>
    </row>
    <row r="9" spans="1:17" ht="16.5" customHeight="1" x14ac:dyDescent="0.2">
      <c r="D9" s="4">
        <v>5</v>
      </c>
      <c r="E9" s="4" t="s">
        <v>65</v>
      </c>
      <c r="F9" s="21" t="s">
        <v>78</v>
      </c>
      <c r="G9" s="58" t="s">
        <v>88</v>
      </c>
      <c r="H9" s="4" t="s">
        <v>80</v>
      </c>
    </row>
    <row r="10" spans="1:17" ht="16.5" customHeight="1" x14ac:dyDescent="0.2">
      <c r="D10" s="4">
        <v>6</v>
      </c>
      <c r="E10" s="4" t="s">
        <v>27</v>
      </c>
      <c r="F10" s="21" t="s">
        <v>75</v>
      </c>
      <c r="G10" s="57" t="s">
        <v>85</v>
      </c>
      <c r="H10" s="4" t="s">
        <v>80</v>
      </c>
    </row>
    <row r="12" spans="1:17" ht="16.5" customHeight="1" x14ac:dyDescent="0.2">
      <c r="A12" s="28" t="s">
        <v>49</v>
      </c>
    </row>
    <row r="13" spans="1:17" ht="16.5" customHeight="1" x14ac:dyDescent="0.2">
      <c r="A13" s="17">
        <v>1</v>
      </c>
      <c r="B13" s="53" t="str">
        <f ca="1">INDEX(Таблица48[Столбец1],A13,1)</f>
        <v>Ø15×10 мм (по умолчанию)</v>
      </c>
      <c r="C13" s="17" t="str">
        <f ca="1">VLOOKUP(B13,Таблица48[#All],2,)</f>
        <v/>
      </c>
      <c r="D13" s="18" t="s">
        <v>28</v>
      </c>
      <c r="E13" s="19" t="s">
        <v>29</v>
      </c>
      <c r="F13" s="25" t="s">
        <v>26</v>
      </c>
      <c r="G13" s="25" t="s">
        <v>25</v>
      </c>
      <c r="H13" s="25" t="s">
        <v>63</v>
      </c>
      <c r="I13" s="25" t="s">
        <v>64</v>
      </c>
      <c r="J13" s="25" t="s">
        <v>65</v>
      </c>
      <c r="K13" s="25" t="s">
        <v>27</v>
      </c>
      <c r="L13" s="25" t="s">
        <v>26</v>
      </c>
      <c r="M13" s="25" t="s">
        <v>25</v>
      </c>
      <c r="N13" s="25" t="s">
        <v>63</v>
      </c>
      <c r="O13" s="25" t="s">
        <v>64</v>
      </c>
      <c r="P13" s="25" t="s">
        <v>65</v>
      </c>
      <c r="Q13" s="25" t="s">
        <v>27</v>
      </c>
    </row>
    <row r="14" spans="1:17" ht="16.5" customHeight="1" x14ac:dyDescent="0.2">
      <c r="A14" s="2"/>
      <c r="B14" s="3"/>
      <c r="C14" s="20"/>
      <c r="D14" s="18" t="str">
        <f ca="1">OFFSET(F14,0,$A$4-1,,)</f>
        <v>Ø15×10 мм (по умолчанию)</v>
      </c>
      <c r="E14" s="24" t="str">
        <f ca="1">OFFSET(L14,0,$A$4-1,,)</f>
        <v/>
      </c>
      <c r="F14" s="21" t="s">
        <v>54</v>
      </c>
      <c r="G14" s="21" t="s">
        <v>55</v>
      </c>
      <c r="H14" s="22" t="s">
        <v>19</v>
      </c>
      <c r="I14" s="22" t="s">
        <v>19</v>
      </c>
      <c r="J14" s="22" t="s">
        <v>19</v>
      </c>
      <c r="K14" s="22" t="s">
        <v>19</v>
      </c>
      <c r="L14" s="22" t="s">
        <v>19</v>
      </c>
      <c r="M14" s="22" t="s">
        <v>19</v>
      </c>
      <c r="N14" s="22" t="s">
        <v>19</v>
      </c>
      <c r="O14" s="22" t="s">
        <v>19</v>
      </c>
      <c r="P14" s="22" t="s">
        <v>19</v>
      </c>
      <c r="Q14" s="22" t="s">
        <v>19</v>
      </c>
    </row>
    <row r="15" spans="1:17" ht="16.5" customHeight="1" x14ac:dyDescent="0.2">
      <c r="A15" s="2"/>
      <c r="B15" s="3"/>
      <c r="C15" s="20"/>
      <c r="D15" s="18" t="str">
        <f ca="1">OFFSET(F15,0,$A$4-1,,)</f>
        <v>Ø20×3 мм</v>
      </c>
      <c r="E15" s="24" t="str">
        <f ca="1">OFFSET(L15,0,$A$4-1,,)</f>
        <v>Магнит: Ø20×3 мм</v>
      </c>
      <c r="F15" s="21" t="s">
        <v>50</v>
      </c>
      <c r="G15" s="22" t="s">
        <v>52</v>
      </c>
      <c r="H15" s="22" t="s">
        <v>19</v>
      </c>
      <c r="I15" s="22" t="s">
        <v>19</v>
      </c>
      <c r="J15" s="22" t="s">
        <v>19</v>
      </c>
      <c r="K15" s="22" t="s">
        <v>19</v>
      </c>
      <c r="L15" s="21" t="s">
        <v>53</v>
      </c>
      <c r="M15" s="21" t="str">
        <f>"Поплавок: "&amp;'Опросный лист сигнализатор'!F9</f>
        <v xml:space="preserve">Поплавок: </v>
      </c>
      <c r="N15" s="22" t="s">
        <v>19</v>
      </c>
      <c r="O15" s="22" t="s">
        <v>19</v>
      </c>
      <c r="P15" s="22" t="s">
        <v>19</v>
      </c>
      <c r="Q15" s="22" t="s">
        <v>19</v>
      </c>
    </row>
    <row r="16" spans="1:17" ht="16.5" customHeight="1" x14ac:dyDescent="0.2">
      <c r="D16" s="23" t="str">
        <f t="shared" ref="D16" ca="1" si="0">OFFSET(F16,0,$A$4-1,,)</f>
        <v>другой</v>
      </c>
      <c r="E16" s="24" t="str">
        <f ca="1">OFFSET(L16,0,$A$4-1,,)</f>
        <v xml:space="preserve">Магнит: </v>
      </c>
      <c r="F16" s="21" t="s">
        <v>52</v>
      </c>
      <c r="G16" s="22" t="s">
        <v>19</v>
      </c>
      <c r="H16" s="22" t="s">
        <v>19</v>
      </c>
      <c r="I16" s="22" t="s">
        <v>19</v>
      </c>
      <c r="J16" s="22" t="s">
        <v>19</v>
      </c>
      <c r="K16" s="22" t="s">
        <v>19</v>
      </c>
      <c r="L16" s="21" t="str">
        <f>"Магнит: "&amp;'Опросный лист сигнализатор'!F9</f>
        <v xml:space="preserve">Магнит: </v>
      </c>
      <c r="M16" s="22" t="s">
        <v>19</v>
      </c>
      <c r="N16" s="22" t="s">
        <v>19</v>
      </c>
      <c r="O16" s="22" t="s">
        <v>19</v>
      </c>
      <c r="P16" s="22" t="s">
        <v>19</v>
      </c>
      <c r="Q16" s="22" t="s">
        <v>19</v>
      </c>
    </row>
    <row r="18" spans="1:17" ht="16.5" customHeight="1" x14ac:dyDescent="0.2">
      <c r="A18" s="51" t="s">
        <v>66</v>
      </c>
    </row>
    <row r="19" spans="1:17" ht="16.5" customHeight="1" x14ac:dyDescent="0.2">
      <c r="A19" s="50">
        <v>1</v>
      </c>
      <c r="B19" s="52" t="str">
        <f ca="1">INDEX(Таблица8[Столбец1],A19,1)</f>
        <v/>
      </c>
      <c r="C19" s="50" t="str">
        <f ca="1">INDEX(Таблица8[Столбец2],A19,1)</f>
        <v/>
      </c>
      <c r="D19" s="4" t="s">
        <v>28</v>
      </c>
      <c r="E19" s="4" t="s">
        <v>29</v>
      </c>
      <c r="F19" s="25" t="s">
        <v>26</v>
      </c>
      <c r="G19" s="25" t="s">
        <v>25</v>
      </c>
      <c r="H19" s="25" t="s">
        <v>63</v>
      </c>
      <c r="I19" s="25" t="s">
        <v>64</v>
      </c>
      <c r="J19" s="25" t="s">
        <v>65</v>
      </c>
      <c r="K19" s="25" t="s">
        <v>27</v>
      </c>
      <c r="L19" s="25" t="s">
        <v>26</v>
      </c>
      <c r="M19" s="25" t="s">
        <v>25</v>
      </c>
      <c r="N19" s="25" t="s">
        <v>63</v>
      </c>
      <c r="O19" s="25" t="s">
        <v>64</v>
      </c>
      <c r="P19" s="25" t="s">
        <v>65</v>
      </c>
      <c r="Q19" s="25" t="s">
        <v>27</v>
      </c>
    </row>
    <row r="20" spans="1:17" ht="16.5" customHeight="1" x14ac:dyDescent="0.2">
      <c r="D20" s="4" t="str">
        <f ca="1">OFFSET(F20,0,$A$4-1,,)</f>
        <v/>
      </c>
      <c r="E20" s="4" t="str">
        <f t="shared" ref="E20:E21" ca="1" si="1">OFFSET(L20,0,$A$4-1,,)</f>
        <v/>
      </c>
      <c r="F20" s="22" t="s">
        <v>19</v>
      </c>
      <c r="G20" s="22" t="s">
        <v>19</v>
      </c>
      <c r="H20" s="22" t="s">
        <v>19</v>
      </c>
      <c r="I20" s="22" t="s">
        <v>69</v>
      </c>
      <c r="J20" s="22" t="s">
        <v>19</v>
      </c>
      <c r="K20" s="22" t="s">
        <v>19</v>
      </c>
      <c r="L20" s="22" t="s">
        <v>19</v>
      </c>
      <c r="M20" s="22" t="s">
        <v>19</v>
      </c>
      <c r="N20" s="22" t="s">
        <v>19</v>
      </c>
      <c r="O20" s="22" t="s">
        <v>71</v>
      </c>
      <c r="P20" s="22" t="s">
        <v>19</v>
      </c>
      <c r="Q20" s="22" t="s">
        <v>19</v>
      </c>
    </row>
    <row r="21" spans="1:17" ht="16.5" customHeight="1" x14ac:dyDescent="0.2">
      <c r="D21" s="4" t="str">
        <f ca="1">OFFSET(F21,0,$A$4-1,,)</f>
        <v/>
      </c>
      <c r="E21" s="4" t="str">
        <f t="shared" ca="1" si="1"/>
        <v/>
      </c>
      <c r="F21" s="22" t="s">
        <v>19</v>
      </c>
      <c r="G21" s="22" t="s">
        <v>19</v>
      </c>
      <c r="H21" s="22" t="s">
        <v>19</v>
      </c>
      <c r="I21" s="22" t="s">
        <v>6</v>
      </c>
      <c r="J21" s="22" t="s">
        <v>19</v>
      </c>
      <c r="K21" s="22" t="s">
        <v>19</v>
      </c>
      <c r="L21" s="22" t="s">
        <v>19</v>
      </c>
      <c r="M21" s="22" t="s">
        <v>19</v>
      </c>
      <c r="N21" s="22" t="s">
        <v>19</v>
      </c>
      <c r="O21" s="22" t="str">
        <f>"-"&amp;'Опросный лист сигнализатор'!F10&amp;"мм"</f>
        <v>-мм</v>
      </c>
      <c r="P21" s="22" t="s">
        <v>19</v>
      </c>
      <c r="Q21" s="22" t="s">
        <v>19</v>
      </c>
    </row>
    <row r="23" spans="1:17" ht="16.5" customHeight="1" x14ac:dyDescent="0.2">
      <c r="A23" s="51" t="s">
        <v>67</v>
      </c>
    </row>
    <row r="24" spans="1:17" ht="16.5" customHeight="1" x14ac:dyDescent="0.2">
      <c r="A24" s="50">
        <v>1</v>
      </c>
      <c r="B24" s="52" t="str">
        <f ca="1">INDEX(Таблица812[Столбец1],A24,1)</f>
        <v/>
      </c>
      <c r="C24" s="50" t="str">
        <f ca="1">INDEX(Таблица812[Столбец2],A24,1)</f>
        <v/>
      </c>
      <c r="D24" s="4" t="s">
        <v>28</v>
      </c>
      <c r="E24" s="4" t="s">
        <v>29</v>
      </c>
      <c r="F24" s="25" t="s">
        <v>26</v>
      </c>
      <c r="G24" s="25" t="s">
        <v>25</v>
      </c>
      <c r="H24" s="25" t="s">
        <v>63</v>
      </c>
      <c r="I24" s="25" t="s">
        <v>64</v>
      </c>
      <c r="J24" s="25" t="s">
        <v>65</v>
      </c>
      <c r="K24" s="25" t="s">
        <v>27</v>
      </c>
      <c r="L24" s="25" t="s">
        <v>26</v>
      </c>
      <c r="M24" s="25" t="s">
        <v>25</v>
      </c>
      <c r="N24" s="25" t="s">
        <v>63</v>
      </c>
      <c r="O24" s="25" t="s">
        <v>64</v>
      </c>
      <c r="P24" s="25" t="s">
        <v>65</v>
      </c>
      <c r="Q24" s="25" t="s">
        <v>27</v>
      </c>
    </row>
    <row r="25" spans="1:17" ht="16.5" customHeight="1" x14ac:dyDescent="0.2">
      <c r="D25" s="4" t="str">
        <f ca="1">OFFSET(F25,0,$A$4-1,,)</f>
        <v/>
      </c>
      <c r="E25" s="9" t="str">
        <f t="shared" ref="E25:E26" ca="1" si="2">OFFSET(L25,0,$A$4-1,,)</f>
        <v/>
      </c>
      <c r="F25" s="22" t="s">
        <v>19</v>
      </c>
      <c r="G25" s="22" t="s">
        <v>19</v>
      </c>
      <c r="H25" s="22" t="s">
        <v>19</v>
      </c>
      <c r="I25" s="22" t="s">
        <v>70</v>
      </c>
      <c r="J25" s="22" t="s">
        <v>19</v>
      </c>
      <c r="K25" s="22" t="s">
        <v>19</v>
      </c>
      <c r="L25" s="22" t="s">
        <v>19</v>
      </c>
      <c r="M25" s="22" t="s">
        <v>19</v>
      </c>
      <c r="N25" s="22" t="s">
        <v>19</v>
      </c>
      <c r="O25" s="22" t="s">
        <v>72</v>
      </c>
      <c r="P25" s="22" t="s">
        <v>19</v>
      </c>
      <c r="Q25" s="22" t="s">
        <v>19</v>
      </c>
    </row>
    <row r="26" spans="1:17" ht="16.5" customHeight="1" x14ac:dyDescent="0.2">
      <c r="D26" s="4" t="str">
        <f ca="1">OFFSET(F26,0,$A$4-1,,)</f>
        <v/>
      </c>
      <c r="E26" s="4" t="str">
        <f t="shared" ca="1" si="2"/>
        <v/>
      </c>
      <c r="F26" s="22" t="s">
        <v>19</v>
      </c>
      <c r="G26" s="22" t="s">
        <v>19</v>
      </c>
      <c r="H26" s="22" t="s">
        <v>19</v>
      </c>
      <c r="I26" s="22" t="s">
        <v>52</v>
      </c>
      <c r="J26" s="22" t="s">
        <v>19</v>
      </c>
      <c r="K26" s="22" t="s">
        <v>19</v>
      </c>
      <c r="L26" s="22" t="s">
        <v>19</v>
      </c>
      <c r="M26" s="22" t="s">
        <v>19</v>
      </c>
      <c r="N26" s="22" t="s">
        <v>19</v>
      </c>
      <c r="O26" s="22" t="str">
        <f>"-"&amp;'Опросный лист сигнализатор'!F11&amp;"мм"</f>
        <v>-мм</v>
      </c>
      <c r="P26" s="22" t="s">
        <v>19</v>
      </c>
      <c r="Q26" s="22" t="s">
        <v>19</v>
      </c>
    </row>
    <row r="28" spans="1:17" ht="16.5" customHeight="1" x14ac:dyDescent="0.2">
      <c r="A28" s="51" t="s">
        <v>68</v>
      </c>
    </row>
    <row r="29" spans="1:17" ht="16.5" customHeight="1" x14ac:dyDescent="0.2">
      <c r="A29" s="50">
        <v>1</v>
      </c>
      <c r="B29" s="52" t="str">
        <f ca="1">INDEX(Таблица81213[Столбец1],A29,1)</f>
        <v/>
      </c>
      <c r="C29" s="50" t="str">
        <f ca="1">INDEX(Таблица81213[Столбец2],A29,1)</f>
        <v/>
      </c>
      <c r="D29" s="4" t="s">
        <v>28</v>
      </c>
      <c r="E29" s="4" t="s">
        <v>29</v>
      </c>
      <c r="F29" s="25" t="s">
        <v>26</v>
      </c>
      <c r="G29" s="25" t="s">
        <v>25</v>
      </c>
      <c r="H29" s="25" t="s">
        <v>63</v>
      </c>
      <c r="I29" s="25" t="s">
        <v>64</v>
      </c>
      <c r="J29" s="25" t="s">
        <v>65</v>
      </c>
      <c r="K29" s="25" t="s">
        <v>27</v>
      </c>
      <c r="L29" s="25" t="s">
        <v>26</v>
      </c>
      <c r="M29" s="25" t="s">
        <v>25</v>
      </c>
      <c r="N29" s="25" t="s">
        <v>63</v>
      </c>
      <c r="O29" s="25" t="s">
        <v>64</v>
      </c>
      <c r="P29" s="25" t="s">
        <v>65</v>
      </c>
      <c r="Q29" s="25" t="s">
        <v>27</v>
      </c>
    </row>
    <row r="30" spans="1:17" ht="16.5" customHeight="1" x14ac:dyDescent="0.2">
      <c r="D30" s="4" t="str">
        <f ca="1">OFFSET(F30,0,$A$4-1,,)</f>
        <v/>
      </c>
      <c r="E30" s="9" t="str">
        <f t="shared" ref="E30:E31" ca="1" si="3">OFFSET(L30,0,$A$4-1,,)</f>
        <v/>
      </c>
      <c r="F30" s="22" t="s">
        <v>19</v>
      </c>
      <c r="G30" s="22" t="s">
        <v>19</v>
      </c>
      <c r="H30" s="22" t="s">
        <v>19</v>
      </c>
      <c r="I30" s="22" t="s">
        <v>73</v>
      </c>
      <c r="J30" s="22" t="s">
        <v>19</v>
      </c>
      <c r="K30" s="22" t="s">
        <v>19</v>
      </c>
      <c r="L30" s="22" t="s">
        <v>19</v>
      </c>
      <c r="M30" s="22" t="s">
        <v>19</v>
      </c>
      <c r="N30" s="22" t="s">
        <v>19</v>
      </c>
      <c r="O30" s="22" t="s">
        <v>74</v>
      </c>
      <c r="P30" s="22" t="s">
        <v>19</v>
      </c>
      <c r="Q30" s="22" t="s">
        <v>19</v>
      </c>
    </row>
    <row r="31" spans="1:17" ht="16.5" customHeight="1" x14ac:dyDescent="0.2">
      <c r="D31" s="4" t="str">
        <f ca="1">OFFSET(F31,0,$A$4-1,,)</f>
        <v/>
      </c>
      <c r="E31" s="4" t="str">
        <f t="shared" ca="1" si="3"/>
        <v/>
      </c>
      <c r="F31" s="22" t="s">
        <v>19</v>
      </c>
      <c r="G31" s="22" t="s">
        <v>19</v>
      </c>
      <c r="H31" s="22" t="s">
        <v>19</v>
      </c>
      <c r="I31" s="22" t="s">
        <v>5</v>
      </c>
      <c r="J31" s="22" t="s">
        <v>19</v>
      </c>
      <c r="K31" s="22" t="s">
        <v>19</v>
      </c>
      <c r="L31" s="22" t="s">
        <v>19</v>
      </c>
      <c r="M31" s="22" t="s">
        <v>19</v>
      </c>
      <c r="N31" s="22" t="s">
        <v>19</v>
      </c>
      <c r="O31" s="22" t="str">
        <f>", "&amp;'Опросный лист сигнализатор'!F12</f>
        <v xml:space="preserve">, </v>
      </c>
      <c r="P31" s="22" t="s">
        <v>19</v>
      </c>
      <c r="Q31" s="22" t="s">
        <v>19</v>
      </c>
    </row>
    <row r="33" spans="1:10" ht="16.5" customHeight="1" x14ac:dyDescent="0.2">
      <c r="A33" s="28" t="s">
        <v>57</v>
      </c>
    </row>
    <row r="34" spans="1:10" ht="16.5" customHeight="1" x14ac:dyDescent="0.2">
      <c r="A34" s="50">
        <v>1</v>
      </c>
      <c r="B34" s="54">
        <f>INDEX(D35:D44,A34,1)</f>
        <v>1</v>
      </c>
      <c r="C34" s="50" t="str">
        <f>VLOOKUP(B34,Таблица3[#All],2,)</f>
        <v>, 1м</v>
      </c>
      <c r="D34" s="4" t="s">
        <v>28</v>
      </c>
      <c r="E34" s="4" t="s">
        <v>29</v>
      </c>
    </row>
    <row r="35" spans="1:10" ht="16.5" customHeight="1" x14ac:dyDescent="0.2">
      <c r="A35" s="6"/>
      <c r="B35" s="7"/>
      <c r="D35" s="4">
        <v>1</v>
      </c>
      <c r="E35" s="4" t="s">
        <v>30</v>
      </c>
      <c r="I35" s="8"/>
      <c r="J35" s="8"/>
    </row>
    <row r="36" spans="1:10" ht="16.5" customHeight="1" x14ac:dyDescent="0.2">
      <c r="A36" s="6"/>
      <c r="B36" s="7"/>
      <c r="D36" s="4">
        <v>1.5</v>
      </c>
      <c r="E36" s="4" t="s">
        <v>31</v>
      </c>
      <c r="I36" s="8"/>
      <c r="J36" s="8"/>
    </row>
    <row r="37" spans="1:10" ht="16.5" customHeight="1" x14ac:dyDescent="0.2">
      <c r="B37" s="7"/>
      <c r="D37" s="4">
        <v>2</v>
      </c>
      <c r="E37" s="4" t="s">
        <v>32</v>
      </c>
      <c r="I37" s="8"/>
      <c r="J37" s="8"/>
    </row>
    <row r="38" spans="1:10" ht="16.5" customHeight="1" x14ac:dyDescent="0.2">
      <c r="B38" s="7"/>
      <c r="D38" s="4">
        <v>2.5</v>
      </c>
      <c r="E38" s="4" t="s">
        <v>33</v>
      </c>
      <c r="I38" s="8"/>
      <c r="J38" s="8"/>
    </row>
    <row r="39" spans="1:10" ht="16.5" customHeight="1" x14ac:dyDescent="0.2">
      <c r="B39" s="7"/>
      <c r="D39" s="4">
        <v>3</v>
      </c>
      <c r="E39" s="4" t="s">
        <v>34</v>
      </c>
      <c r="I39" s="8"/>
      <c r="J39" s="8"/>
    </row>
    <row r="40" spans="1:10" ht="16.5" customHeight="1" x14ac:dyDescent="0.2">
      <c r="B40" s="7"/>
      <c r="D40" s="4">
        <v>4</v>
      </c>
      <c r="E40" s="4" t="s">
        <v>35</v>
      </c>
      <c r="I40" s="8"/>
      <c r="J40" s="8"/>
    </row>
    <row r="41" spans="1:10" ht="16.5" customHeight="1" x14ac:dyDescent="0.2">
      <c r="B41" s="7"/>
      <c r="D41" s="4">
        <v>5</v>
      </c>
      <c r="E41" s="4" t="s">
        <v>36</v>
      </c>
      <c r="I41" s="8"/>
      <c r="J41" s="8"/>
    </row>
    <row r="42" spans="1:10" ht="16.5" customHeight="1" x14ac:dyDescent="0.2">
      <c r="B42" s="7"/>
      <c r="D42" s="4">
        <v>7</v>
      </c>
      <c r="E42" s="4" t="s">
        <v>37</v>
      </c>
      <c r="I42" s="8"/>
      <c r="J42" s="8"/>
    </row>
    <row r="43" spans="1:10" ht="16.5" customHeight="1" x14ac:dyDescent="0.2">
      <c r="B43" s="7"/>
      <c r="D43" s="4">
        <v>10</v>
      </c>
      <c r="E43" s="4" t="s">
        <v>38</v>
      </c>
      <c r="I43" s="8"/>
      <c r="J43" s="8"/>
    </row>
    <row r="44" spans="1:10" ht="16.5" customHeight="1" x14ac:dyDescent="0.2">
      <c r="A44" s="6"/>
      <c r="B44" s="7"/>
      <c r="D44" s="5" t="s">
        <v>6</v>
      </c>
      <c r="E44" s="14" t="str">
        <f>", "&amp;'Опросный лист сигнализатор'!F13&amp;"м"</f>
        <v>, м</v>
      </c>
      <c r="I44" s="8"/>
      <c r="J44" s="8"/>
    </row>
    <row r="45" spans="1:10" ht="16.5" customHeight="1" x14ac:dyDescent="0.2">
      <c r="A45" s="6"/>
      <c r="B45" s="7"/>
      <c r="D45" s="5"/>
      <c r="E45" s="5"/>
      <c r="I45" s="8"/>
      <c r="J45" s="8"/>
    </row>
    <row r="46" spans="1:10" ht="16.5" customHeight="1" x14ac:dyDescent="0.2">
      <c r="A46" s="28" t="s">
        <v>12</v>
      </c>
      <c r="B46" s="7"/>
      <c r="D46" s="5"/>
      <c r="E46" s="5"/>
      <c r="I46" s="8"/>
      <c r="J46" s="8"/>
    </row>
    <row r="47" spans="1:10" ht="16.5" customHeight="1" x14ac:dyDescent="0.2">
      <c r="A47" s="50">
        <v>1</v>
      </c>
      <c r="B47" s="54" t="str">
        <f>INDEX(D48:D50,A47,1)</f>
        <v>без дополнительной защиты</v>
      </c>
      <c r="C47" s="50" t="str">
        <f>VLOOKUP(B47,Таблица4[#All],2,)</f>
        <v/>
      </c>
      <c r="D47" s="4" t="s">
        <v>28</v>
      </c>
      <c r="E47" s="4" t="s">
        <v>29</v>
      </c>
    </row>
    <row r="48" spans="1:10" ht="16.5" customHeight="1" x14ac:dyDescent="0.2">
      <c r="A48" s="6"/>
      <c r="B48" s="7"/>
      <c r="D48" s="4" t="s">
        <v>13</v>
      </c>
      <c r="E48" s="9" t="s">
        <v>19</v>
      </c>
      <c r="I48" s="8"/>
      <c r="J48" s="8"/>
    </row>
    <row r="49" spans="1:10" ht="16.5" customHeight="1" x14ac:dyDescent="0.2">
      <c r="A49" s="6"/>
      <c r="B49" s="7"/>
      <c r="D49" s="4" t="s">
        <v>14</v>
      </c>
      <c r="E49" s="4" t="s">
        <v>39</v>
      </c>
      <c r="I49" s="8"/>
      <c r="J49" s="8"/>
    </row>
    <row r="50" spans="1:10" ht="16.5" customHeight="1" x14ac:dyDescent="0.2">
      <c r="A50" s="6"/>
      <c r="B50" s="7"/>
      <c r="D50" s="4" t="s">
        <v>15</v>
      </c>
      <c r="E50" s="4" t="str">
        <f>", "&amp;'Опросный лист сигнализатор'!F14</f>
        <v xml:space="preserve">, </v>
      </c>
      <c r="I50" s="8"/>
      <c r="J50" s="8"/>
    </row>
    <row r="51" spans="1:10" ht="16.5" customHeight="1" x14ac:dyDescent="0.2">
      <c r="A51" s="6"/>
      <c r="B51" s="7"/>
      <c r="I51" s="8"/>
      <c r="J51" s="8"/>
    </row>
    <row r="52" spans="1:10" ht="16.5" customHeight="1" x14ac:dyDescent="0.2">
      <c r="A52" s="28" t="s">
        <v>44</v>
      </c>
      <c r="B52" s="7"/>
      <c r="I52" s="8"/>
      <c r="J52" s="8"/>
    </row>
    <row r="53" spans="1:10" ht="16.5" customHeight="1" x14ac:dyDescent="0.2">
      <c r="A53" s="50">
        <v>1</v>
      </c>
      <c r="B53" s="52" t="str">
        <f>INDEX(D54,A53,1)</f>
        <v>LoRaWAN + Bluetooth Low Energy</v>
      </c>
      <c r="C53" s="50" t="str">
        <f>VLOOKUP(B53,Таблица2[#All],2,)</f>
        <v>, LoRa</v>
      </c>
      <c r="D53" s="4" t="s">
        <v>28</v>
      </c>
      <c r="E53" s="4" t="s">
        <v>29</v>
      </c>
    </row>
    <row r="54" spans="1:10" ht="16.5" customHeight="1" x14ac:dyDescent="0.2">
      <c r="D54" s="4" t="s">
        <v>45</v>
      </c>
      <c r="E54" s="4" t="s">
        <v>41</v>
      </c>
    </row>
    <row r="55" spans="1:10" ht="16.5" customHeight="1" x14ac:dyDescent="0.2">
      <c r="A55" s="6"/>
      <c r="B55" s="7"/>
      <c r="D55" s="4" t="s">
        <v>46</v>
      </c>
      <c r="E55" s="4" t="s">
        <v>47</v>
      </c>
      <c r="I55" s="8"/>
      <c r="J55" s="8"/>
    </row>
    <row r="56" spans="1:10" ht="16.5" customHeight="1" x14ac:dyDescent="0.2">
      <c r="A56" s="6"/>
      <c r="B56" s="7"/>
      <c r="I56" s="8"/>
      <c r="J56" s="8"/>
    </row>
    <row r="57" spans="1:10" ht="16.5" customHeight="1" x14ac:dyDescent="0.2">
      <c r="A57" s="28" t="s">
        <v>56</v>
      </c>
      <c r="B57" s="7"/>
      <c r="I57" s="8"/>
      <c r="J57" s="8"/>
    </row>
    <row r="58" spans="1:10" ht="16.5" customHeight="1" x14ac:dyDescent="0.2">
      <c r="A58" s="55">
        <v>1</v>
      </c>
      <c r="B58" s="56" t="str">
        <f>INDEX(Таблица9[],A58,1)</f>
        <v>от -40 до +60 °C (индустриальный температурный диапазон)</v>
      </c>
      <c r="C58" s="50" t="str">
        <f>INDEX(Таблица9[],A58,2)</f>
        <v/>
      </c>
      <c r="D58" s="4" t="s">
        <v>28</v>
      </c>
      <c r="E58" s="4" t="s">
        <v>29</v>
      </c>
      <c r="I58" s="8"/>
      <c r="J58" s="8"/>
    </row>
    <row r="59" spans="1:10" ht="16.5" customHeight="1" x14ac:dyDescent="0.2">
      <c r="A59" s="6"/>
      <c r="B59" s="7"/>
      <c r="D59" s="4" t="s">
        <v>58</v>
      </c>
      <c r="E59" s="4" t="s">
        <v>19</v>
      </c>
      <c r="I59" s="8"/>
      <c r="J59" s="8"/>
    </row>
    <row r="60" spans="1:10" ht="16.5" customHeight="1" x14ac:dyDescent="0.2">
      <c r="A60" s="6"/>
      <c r="B60" s="7"/>
      <c r="D60" s="4" t="s">
        <v>59</v>
      </c>
      <c r="E60" s="4" t="s">
        <v>60</v>
      </c>
      <c r="I60" s="8"/>
      <c r="J60" s="8"/>
    </row>
    <row r="61" spans="1:10" ht="16.5" customHeight="1" x14ac:dyDescent="0.2">
      <c r="B61" s="7"/>
      <c r="D61" s="4" t="s">
        <v>61</v>
      </c>
      <c r="E61" s="4" t="s">
        <v>62</v>
      </c>
      <c r="I61" s="8"/>
      <c r="J61" s="8"/>
    </row>
    <row r="62" spans="1:10" ht="16.5" customHeight="1" x14ac:dyDescent="0.2">
      <c r="B62" s="7"/>
      <c r="I62" s="8"/>
      <c r="J62" s="8"/>
    </row>
    <row r="63" spans="1:10" ht="16.5" customHeight="1" x14ac:dyDescent="0.2">
      <c r="A63" s="28" t="s">
        <v>20</v>
      </c>
      <c r="B63" s="7"/>
      <c r="I63" s="8"/>
      <c r="J63" s="8"/>
    </row>
    <row r="64" spans="1:10" ht="16.5" customHeight="1" x14ac:dyDescent="0.2">
      <c r="A64" s="50">
        <v>1</v>
      </c>
      <c r="B64" s="54" t="str">
        <f>INDEX(D65:D67,A64,1)</f>
        <v>не требуется</v>
      </c>
      <c r="C64" s="50" t="str">
        <f>VLOOKUP(B64,Таблица5[#All],2,)</f>
        <v/>
      </c>
      <c r="D64" s="4" t="s">
        <v>28</v>
      </c>
      <c r="E64" s="4" t="s">
        <v>29</v>
      </c>
    </row>
    <row r="65" spans="1:5" ht="16.5" customHeight="1" x14ac:dyDescent="0.2">
      <c r="D65" s="4" t="s">
        <v>11</v>
      </c>
      <c r="E65" s="9" t="s">
        <v>19</v>
      </c>
    </row>
    <row r="66" spans="1:5" ht="16.5" customHeight="1" x14ac:dyDescent="0.2">
      <c r="D66" s="4" t="s">
        <v>21</v>
      </c>
      <c r="E66" s="4" t="s">
        <v>89</v>
      </c>
    </row>
    <row r="67" spans="1:5" ht="16.5" customHeight="1" x14ac:dyDescent="0.2">
      <c r="D67" s="4" t="s">
        <v>5</v>
      </c>
      <c r="E67" s="4" t="str">
        <f>"Крепление: "&amp;'Опросный лист сигнализатор'!F17</f>
        <v xml:space="preserve">Крепление: </v>
      </c>
    </row>
    <row r="70" spans="1:5" ht="16.5" customHeight="1" x14ac:dyDescent="0.2">
      <c r="A70" s="28" t="s">
        <v>40</v>
      </c>
      <c r="D70" s="4" t="s">
        <v>28</v>
      </c>
      <c r="E70" s="4" t="s">
        <v>29</v>
      </c>
    </row>
    <row r="71" spans="1:5" ht="16.5" customHeight="1" x14ac:dyDescent="0.2">
      <c r="A71" s="50">
        <v>1</v>
      </c>
      <c r="B71" s="54" t="str">
        <f>INDEX(D71:D72,A71,1)</f>
        <v>не требуется</v>
      </c>
      <c r="C71" s="50" t="str">
        <f>VLOOKUP(B71,Таблица6[#All],2,)</f>
        <v/>
      </c>
      <c r="D71" s="4" t="s">
        <v>11</v>
      </c>
      <c r="E71" s="9" t="s">
        <v>19</v>
      </c>
    </row>
    <row r="72" spans="1:5" ht="16.5" customHeight="1" x14ac:dyDescent="0.2">
      <c r="D72" s="4" t="s">
        <v>21</v>
      </c>
      <c r="E72" s="4" t="s">
        <v>51</v>
      </c>
    </row>
    <row r="75" spans="1:5" ht="16.5" customHeight="1" x14ac:dyDescent="0.2">
      <c r="A75" s="10" t="str">
        <f ca="1">C5&amp;" ("&amp;C4&amp;C19&amp;C24&amp;C29&amp;C34&amp;C47&amp;C58&amp;C53&amp;")"</f>
        <v>Сигнализатор "Автон" (Щ0, 1м, LoRa)</v>
      </c>
      <c r="B75" s="11"/>
      <c r="C75" s="10"/>
    </row>
    <row r="76" spans="1:5" ht="16.5" customHeight="1" x14ac:dyDescent="0.2">
      <c r="A76" s="4" t="s">
        <v>42</v>
      </c>
    </row>
    <row r="77" spans="1:5" ht="59.25" customHeight="1" x14ac:dyDescent="0.2">
      <c r="A77" s="59" t="str">
        <f>VLOOKUP(B4,Таблица1[#All],4,)</f>
        <v>Сигнализатор дискретный Холла A555.00.00-10</v>
      </c>
      <c r="B77" s="60" t="str">
        <f>VLOOKUP(B4,Таблица1[#All],5,)</f>
        <v>Преобразователь измерительный дискретного сигнала с датчиком Холла A555</v>
      </c>
      <c r="C77" s="10"/>
    </row>
    <row r="78" spans="1:5" ht="16.5" customHeight="1" x14ac:dyDescent="0.2">
      <c r="A78" s="67" t="s">
        <v>43</v>
      </c>
      <c r="B78" s="67"/>
      <c r="C78" s="10"/>
    </row>
    <row r="79" spans="1:5" ht="16.5" customHeight="1" x14ac:dyDescent="0.2">
      <c r="A79" s="10" t="str">
        <f ca="1">C13</f>
        <v/>
      </c>
      <c r="B79" s="11"/>
      <c r="C79" s="10"/>
    </row>
    <row r="80" spans="1:5" ht="16.5" customHeight="1" x14ac:dyDescent="0.2">
      <c r="A80" s="10" t="str">
        <f>C64</f>
        <v/>
      </c>
      <c r="B80" s="11"/>
      <c r="C80" s="10"/>
    </row>
    <row r="112" spans="1:2" ht="16.5" customHeight="1" x14ac:dyDescent="0.2">
      <c r="A112" s="15"/>
      <c r="B112" s="16"/>
    </row>
  </sheetData>
  <mergeCells count="2">
    <mergeCell ref="A1:B1"/>
    <mergeCell ref="A78:B78"/>
  </mergeCells>
  <pageMargins left="0.6692913385826772" right="0.15748031496062992" top="0.35433070866141736" bottom="0.27559055118110237" header="0.19685039370078741" footer="0.23622047244094491"/>
  <pageSetup paperSize="9" scale="78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Опросный лист сигнализатор</vt:lpstr>
      <vt:lpstr>Лист1</vt:lpstr>
      <vt:lpstr>'Опросный лист сигнализатор'!Область_печати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2023-04-18T06:52:44Z</cp:lastPrinted>
  <dcterms:created xsi:type="dcterms:W3CDTF">2008-11-24T06:26:29Z</dcterms:created>
  <dcterms:modified xsi:type="dcterms:W3CDTF">2023-06-06T08:35:06Z</dcterms:modified>
</cp:coreProperties>
</file>