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570" yWindow="240" windowWidth="23280" windowHeight="12030"/>
  </bookViews>
  <sheets>
    <sheet name="Опросный лист термоманометр" sheetId="2" r:id="rId1"/>
    <sheet name="Лист1" sheetId="4" state="hidden" r:id="rId2"/>
    <sheet name="Справка" sheetId="3" r:id="rId3"/>
  </sheets>
  <definedNames>
    <definedName name="Test">#REF!</definedName>
    <definedName name="Арматура">'Опросный лист термоманометр'!#REF!</definedName>
    <definedName name="Без_пустых">IFERROR(INDEX(#REF!,SMALL(IF(#REF!&lt;&gt;#REF!,ROW(INDIRECT("1:"&amp;ROWS(#REF!))),""),ROW(INDIRECT("1:"&amp;ROWS(#REF!))))),"")</definedName>
    <definedName name="Без_пустых1">IFERROR(VLOOKUP(ROW(#REF!),#REF!,2,0),"")</definedName>
    <definedName name="Гильза">OFFSET('Опросный лист термоманометр'!#REF!,0,'Опросный лист термоманометр'!#REF!-1,,1)</definedName>
    <definedName name="Давление_ВПИ">'Опросный лист термоманометр'!#REF!</definedName>
    <definedName name="Давление_Погрешность">'Опросный лист термоманометр'!#REF!</definedName>
    <definedName name="Дополнительная_комплектация">Справка!$B$3</definedName>
    <definedName name="Исполнение">'Опросный лист термоманометр'!#REF!</definedName>
    <definedName name="Кабель_Длина">OFFSET('Опросный лист термоманометр'!#REF!,0,'Опросный лист термоманометр'!#REF!-1,,1)</definedName>
    <definedName name="Кабель_Защита">OFFSET('Опросный лист термоманометр'!#REF!,0,'Опросный лист термоманометр'!#REF!-1,,1)</definedName>
    <definedName name="Кабель_Подключение">OFFSET('Опросный лист термоманометр'!#REF!,0,'Опросный лист термоманометр'!#REF!-1,,1)</definedName>
    <definedName name="Конструктивные_исполнения_по_месту_измерения_температуры">Справка!#REF!</definedName>
    <definedName name="Конструктивные_исполнения_термощупов">Справка!#REF!</definedName>
    <definedName name="_xlnm.Print_Area" localSheetId="0">'Опросный лист термоманометр'!$A$2:$I$49</definedName>
    <definedName name="_xlnm.Print_Area" localSheetId="2">Справка!$A$1:$E$12</definedName>
    <definedName name="Поверка">'Опросный лист термоманометр'!#REF!</definedName>
    <definedName name="Пример_компоновки_арматуры_присоединительной">Справка!#REF!</definedName>
    <definedName name="Резьба">'Опросный лист термоманометр'!#REF!</definedName>
    <definedName name="Способ_подключения_кабеля_к_термощупу">Справка!#REF!</definedName>
    <definedName name="Способы_крепления_термощупа">Справка!#REF!</definedName>
    <definedName name="Температура_Диапазон">OFFSET('Опросный лист термоманометр'!#REF!,0,'Опросный лист термоманометр'!#REF!-1,,1)</definedName>
    <definedName name="Температура_Место">'Опросный лист термоманометр'!#REF!</definedName>
    <definedName name="Температура_Погрешность">OFFSET('Опросный лист термоманометр'!#REF!,0,'Опросный лист термоманометр'!#REF!-1,,1)</definedName>
    <definedName name="Хранение_передача">'Опросный лист термоманометр'!#REF!</definedName>
    <definedName name="Щуп_Диаметр">OFFSET('Опросный лист термоманометр'!#REF!,0,'Опросный лист термоманометр'!#REF!-1,,1)</definedName>
    <definedName name="Щуп_Длина">OFFSET('Опросный лист термоманометр'!#REF!,0,'Опросный лист термоманометр'!#REF!-1,,1)</definedName>
    <definedName name="Щуп_Крепление">OFFSET('Опросный лист термоманометр'!#REF!,0,'Опросный лист термоманометр'!#REF!-1,,1)</definedName>
  </definedNames>
  <calcPr calcId="145621"/>
</workbook>
</file>

<file path=xl/calcChain.xml><?xml version="1.0" encoding="utf-8"?>
<calcChain xmlns="http://schemas.openxmlformats.org/spreadsheetml/2006/main">
  <c r="C48" i="2" l="1"/>
  <c r="E148" i="4" l="1"/>
  <c r="E147" i="4"/>
  <c r="C22" i="2" l="1"/>
  <c r="C23" i="2"/>
  <c r="C169" i="4" l="1"/>
  <c r="E163" i="4"/>
  <c r="C182" i="4" l="1"/>
  <c r="C184" i="4" s="1"/>
  <c r="E146" i="4"/>
  <c r="D146" i="4" l="1"/>
  <c r="E166" i="4"/>
  <c r="E165" i="4"/>
  <c r="E164" i="4"/>
  <c r="G134" i="4" l="1"/>
  <c r="E133" i="4"/>
  <c r="E143" i="4"/>
  <c r="H70" i="4" l="1"/>
  <c r="H69" i="4"/>
  <c r="H68" i="4"/>
  <c r="H67" i="4"/>
  <c r="H66" i="4"/>
  <c r="H65" i="4"/>
  <c r="H64" i="4"/>
  <c r="H63" i="4"/>
  <c r="H62" i="4"/>
  <c r="H61" i="4"/>
  <c r="H71" i="4" l="1"/>
  <c r="E124" i="4" l="1"/>
  <c r="E123" i="4"/>
  <c r="D124" i="4"/>
  <c r="D123" i="4"/>
  <c r="B104" i="4" l="1"/>
  <c r="C104" i="4"/>
  <c r="G133" i="4"/>
  <c r="E160" i="4" l="1"/>
  <c r="E156" i="4"/>
  <c r="E151" i="4"/>
  <c r="E159" i="4"/>
  <c r="E153" i="4"/>
  <c r="E158" i="4"/>
  <c r="E157" i="4"/>
  <c r="C21" i="2"/>
  <c r="C146" i="4"/>
  <c r="A176" i="4" s="1"/>
  <c r="C43" i="2" s="1"/>
  <c r="E152" i="4"/>
  <c r="D163" i="4"/>
  <c r="C24" i="2" s="1"/>
  <c r="B132" i="4"/>
  <c r="G135" i="4"/>
  <c r="C133" i="4" s="1"/>
  <c r="C163" i="4" l="1"/>
  <c r="A179" i="4" s="1"/>
  <c r="C46" i="2" s="1"/>
  <c r="D151" i="4"/>
  <c r="C151" i="4" s="1"/>
  <c r="A177" i="4" s="1"/>
  <c r="C44" i="2" s="1"/>
  <c r="D156" i="4"/>
  <c r="C156" i="4" l="1"/>
  <c r="A178" i="4" s="1"/>
  <c r="C45" i="2" s="1"/>
  <c r="G50" i="4"/>
  <c r="C121" i="4" l="1"/>
  <c r="B121" i="4"/>
  <c r="E34" i="4" l="1"/>
  <c r="E50" i="4" l="1"/>
  <c r="G46" i="4"/>
  <c r="G49" i="4"/>
  <c r="G47" i="4"/>
  <c r="G48" i="4"/>
  <c r="F46" i="4" l="1"/>
  <c r="D34" i="4"/>
  <c r="E35" i="4"/>
  <c r="E36" i="4"/>
  <c r="E37" i="4"/>
  <c r="D37" i="4"/>
  <c r="D36" i="4"/>
  <c r="D35" i="4"/>
  <c r="D70" i="4" l="1"/>
  <c r="D69" i="4"/>
  <c r="D71" i="4"/>
  <c r="D65" i="4"/>
  <c r="D61" i="4"/>
  <c r="D63" i="4"/>
  <c r="D66" i="4"/>
  <c r="D68" i="4"/>
  <c r="D64" i="4"/>
  <c r="D62" i="4"/>
  <c r="D67" i="4"/>
  <c r="D98" i="4"/>
  <c r="D100" i="4"/>
  <c r="D101" i="4"/>
  <c r="D50" i="4"/>
  <c r="D46" i="4"/>
  <c r="E46" i="4" s="1"/>
  <c r="D49" i="4"/>
  <c r="E49" i="4" s="1"/>
  <c r="D48" i="4"/>
  <c r="D47" i="4"/>
  <c r="E47" i="4" s="1"/>
  <c r="B60" i="4" l="1"/>
  <c r="E48" i="4"/>
  <c r="B45" i="4"/>
  <c r="J99" i="4" s="1"/>
  <c r="C134" i="4" l="1"/>
  <c r="C132" i="4" s="1"/>
  <c r="H79" i="4"/>
  <c r="K99" i="4"/>
  <c r="I99" i="4"/>
  <c r="H99" i="4"/>
  <c r="D79" i="4"/>
  <c r="H75" i="4"/>
  <c r="D75" i="4" s="1"/>
  <c r="H78" i="4"/>
  <c r="D78" i="4" s="1"/>
  <c r="H76" i="4"/>
  <c r="D76" i="4" s="1"/>
  <c r="H77" i="4"/>
  <c r="D77" i="4" s="1"/>
  <c r="C60" i="4"/>
  <c r="C45" i="4"/>
  <c r="I56" i="4"/>
  <c r="H57" i="4"/>
  <c r="H56" i="4"/>
  <c r="I57" i="4"/>
  <c r="H55" i="4"/>
  <c r="I55" i="4"/>
  <c r="D99" i="4" l="1"/>
  <c r="D57" i="4"/>
  <c r="D56" i="4"/>
  <c r="D55" i="4"/>
  <c r="B97" i="4"/>
  <c r="C97" i="4" s="1"/>
  <c r="D89" i="4"/>
  <c r="D90" i="4"/>
  <c r="D91" i="4"/>
  <c r="D92" i="4"/>
  <c r="D93" i="4"/>
  <c r="D94" i="4"/>
  <c r="D88" i="4"/>
  <c r="B28" i="4" l="1"/>
  <c r="C28" i="4" l="1"/>
  <c r="E55" i="4" l="1"/>
  <c r="E56" i="4"/>
  <c r="E57" i="4"/>
  <c r="B54" i="4" l="1"/>
  <c r="C54" i="4" s="1"/>
  <c r="E113" i="4" l="1"/>
  <c r="E25" i="4"/>
  <c r="B127" i="4" l="1"/>
  <c r="C127" i="4" s="1"/>
  <c r="C128" i="4" l="1"/>
  <c r="E94" i="4"/>
  <c r="E16" i="4" l="1"/>
  <c r="E89" i="4" l="1"/>
  <c r="E90" i="4"/>
  <c r="E91" i="4"/>
  <c r="E92" i="4"/>
  <c r="E93" i="4"/>
  <c r="B87" i="4" l="1"/>
  <c r="E88" i="4"/>
  <c r="B74" i="4"/>
  <c r="E84" i="4" l="1"/>
  <c r="E83" i="4"/>
  <c r="D84" i="4"/>
  <c r="D83" i="4"/>
  <c r="C74" i="4"/>
  <c r="C75" i="4" s="1"/>
  <c r="C87" i="4"/>
  <c r="B19" i="4"/>
  <c r="C19" i="4" s="1"/>
  <c r="B5" i="4"/>
  <c r="C5" i="4" s="1"/>
  <c r="B82" i="4" l="1"/>
  <c r="C61" i="4"/>
  <c r="B116" i="4"/>
  <c r="C117" i="4" l="1"/>
  <c r="C116" i="4"/>
  <c r="A175" i="4" l="1"/>
  <c r="B33" i="4"/>
  <c r="E41" i="4" s="1"/>
  <c r="C40" i="4" s="1"/>
  <c r="D41" i="4" l="1"/>
  <c r="D42" i="4"/>
  <c r="C33" i="4"/>
  <c r="C82" i="4" l="1"/>
  <c r="A172" i="4" s="1"/>
  <c r="B40" i="4"/>
  <c r="C41" i="4" s="1"/>
  <c r="C41" i="2" l="1"/>
</calcChain>
</file>

<file path=xl/comments1.xml><?xml version="1.0" encoding="utf-8"?>
<comments xmlns="http://schemas.openxmlformats.org/spreadsheetml/2006/main">
  <authors>
    <author>Кукина Ольга</author>
  </authors>
  <commentList>
    <comment ref="A20" authorId="0">
      <text>
        <r>
          <rPr>
            <sz val="9"/>
            <color indexed="81"/>
            <rFont val="Tahoma"/>
            <family val="2"/>
            <charset val="204"/>
          </rPr>
          <t>Нажмите для справки</t>
        </r>
      </text>
    </comment>
  </commentList>
</comments>
</file>

<file path=xl/sharedStrings.xml><?xml version="1.0" encoding="utf-8"?>
<sst xmlns="http://schemas.openxmlformats.org/spreadsheetml/2006/main" count="301" uniqueCount="120">
  <si>
    <t>Информацию подготовил:</t>
  </si>
  <si>
    <t>Фамилия, Имя, Отчество</t>
  </si>
  <si>
    <t>Компания</t>
  </si>
  <si>
    <t>Почтовый адрес</t>
  </si>
  <si>
    <t>Телефон/Факс</t>
  </si>
  <si>
    <t>Канал измерения давления</t>
  </si>
  <si>
    <t>Верхний предел диапазона измерения абсолютного давления, МПа</t>
  </si>
  <si>
    <t>Исполнение</t>
  </si>
  <si>
    <t>Присоединительная резьба</t>
  </si>
  <si>
    <t>другая</t>
  </si>
  <si>
    <t>обычное</t>
  </si>
  <si>
    <t>G1/2</t>
  </si>
  <si>
    <t>Дополнительные требования</t>
  </si>
  <si>
    <t>другой</t>
  </si>
  <si>
    <t>Если выбрано "другое", то впишите значение</t>
  </si>
  <si>
    <t>Код для заказа</t>
  </si>
  <si>
    <t>не требуется</t>
  </si>
  <si>
    <t>Защита кабеля</t>
  </si>
  <si>
    <t>без дополнительной защиты</t>
  </si>
  <si>
    <t>Свидетельство о поверке</t>
  </si>
  <si>
    <t xml:space="preserve">другая </t>
  </si>
  <si>
    <t xml:space="preserve">Предел допускаемой основной приведенной погрешности, % </t>
  </si>
  <si>
    <t>Выбранный вариант</t>
  </si>
  <si>
    <t>индекс</t>
  </si>
  <si>
    <t>значение</t>
  </si>
  <si>
    <t>Исходные данные для выбора</t>
  </si>
  <si>
    <t>В спецификацию</t>
  </si>
  <si>
    <t/>
  </si>
  <si>
    <t>Способ подключения кабеля к термощупу</t>
  </si>
  <si>
    <t>требуется</t>
  </si>
  <si>
    <t>?</t>
  </si>
  <si>
    <t>Справка</t>
  </si>
  <si>
    <t>Количество, шт.</t>
  </si>
  <si>
    <t>Столбец1</t>
  </si>
  <si>
    <t>Столбец2</t>
  </si>
  <si>
    <t>0.6МПа</t>
  </si>
  <si>
    <t>1МПа</t>
  </si>
  <si>
    <t>1.6МПа</t>
  </si>
  <si>
    <t>2.5МПа</t>
  </si>
  <si>
    <t>6МПа</t>
  </si>
  <si>
    <t>10МПа</t>
  </si>
  <si>
    <t>16МПа</t>
  </si>
  <si>
    <t>25МПа</t>
  </si>
  <si>
    <t>40МПа</t>
  </si>
  <si>
    <t>60МПа</t>
  </si>
  <si>
    <t>, 0.15%</t>
  </si>
  <si>
    <t>, 0.25%</t>
  </si>
  <si>
    <t>, 0.5%</t>
  </si>
  <si>
    <t>, 1%</t>
  </si>
  <si>
    <t>, 1.5%</t>
  </si>
  <si>
    <t>, П</t>
  </si>
  <si>
    <t>, G1/2</t>
  </si>
  <si>
    <t>Код для заказа комплекса:</t>
  </si>
  <si>
    <t>Комплектация:</t>
  </si>
  <si>
    <t>-40..+85</t>
  </si>
  <si>
    <t>-40..+125</t>
  </si>
  <si>
    <t>-40..+250</t>
  </si>
  <si>
    <t>-40..+300</t>
  </si>
  <si>
    <t>Термощуп</t>
  </si>
  <si>
    <t>отсутствует</t>
  </si>
  <si>
    <t>выносной</t>
  </si>
  <si>
    <t>Конструкция термощупа</t>
  </si>
  <si>
    <t>Передача и хранение данных</t>
  </si>
  <si>
    <t>LoRaWAN + Bluetooth Low Energy</t>
  </si>
  <si>
    <t>NB-IoT + Bluetooth Low Energy</t>
  </si>
  <si>
    <t>, LoRa</t>
  </si>
  <si>
    <t>, NB-IoT</t>
  </si>
  <si>
    <t>Столбец3</t>
  </si>
  <si>
    <t>, LoRaWAN</t>
  </si>
  <si>
    <t>Дополнительная комплектация</t>
  </si>
  <si>
    <t>Дополнительная комплектация:</t>
  </si>
  <si>
    <t>Конструктивное исполнение термощупа</t>
  </si>
  <si>
    <t>для ввинчивания в термокарман</t>
  </si>
  <si>
    <t>накладной под винт</t>
  </si>
  <si>
    <t>, ТЩ</t>
  </si>
  <si>
    <t>, ТЩX</t>
  </si>
  <si>
    <t>другое</t>
  </si>
  <si>
    <t>накладной с лыской</t>
  </si>
  <si>
    <t>выносной для ввинчивания в термокарман</t>
  </si>
  <si>
    <t>выносной накладной с лыской</t>
  </si>
  <si>
    <t>выносной накладной под винт</t>
  </si>
  <si>
    <t>выносной другой</t>
  </si>
  <si>
    <t>Рабочие условия эксплуатации</t>
  </si>
  <si>
    <t>Верхний предел измерения давления</t>
  </si>
  <si>
    <t>Предел допускаемой основной приведенной погрешности</t>
  </si>
  <si>
    <t>Диапазон измерения</t>
  </si>
  <si>
    <t>Предел допускаемой абсолютной погрешности</t>
  </si>
  <si>
    <t>Длина термощупа</t>
  </si>
  <si>
    <t>Диаметр термощупа</t>
  </si>
  <si>
    <t>Длина кабеля</t>
  </si>
  <si>
    <t>от -40 до +60 °C (индустриальный температурный диапазон)</t>
  </si>
  <si>
    <t>Отвод охладитель</t>
  </si>
  <si>
    <t>Гильза защитная</t>
  </si>
  <si>
    <t>, К3</t>
  </si>
  <si>
    <t>Переходник</t>
  </si>
  <si>
    <t>, ТЩ4(Pt1000)-</t>
  </si>
  <si>
    <t>, ТЩ5(Pt1000)-</t>
  </si>
  <si>
    <t>Адаптер термоманометрический</t>
  </si>
  <si>
    <t>коррозионностойкое К2 (по ГОСТ 13846-89)/«Ор» (по РТМ 311.001-90)</t>
  </si>
  <si>
    <t>коррозионностойкое К3 (по ГОСТ 13846-89)/«Астр» (по РТМ 311.001-90)</t>
  </si>
  <si>
    <t>Блок клапанный БКН2 (тройник)</t>
  </si>
  <si>
    <t>Клапан игольчатый (блок вентильный)</t>
  </si>
  <si>
    <t>Переходник наруж. G1/2 – внутр. М20х1,5</t>
  </si>
  <si>
    <t>ТО-СП1-2.35                      ОС100/ОХ4</t>
  </si>
  <si>
    <t>ОС100/ОХ28                           ОС100/ОХ50</t>
  </si>
  <si>
    <t>Сегодняшняя дата:</t>
  </si>
  <si>
    <t>Последняя дата редактирования:</t>
  </si>
  <si>
    <t>Оценка актуальности:</t>
  </si>
  <si>
    <t>Передача данных</t>
  </si>
  <si>
    <t>История изменений:</t>
  </si>
  <si>
    <t>, M20х1.5</t>
  </si>
  <si>
    <t>M20х1.5</t>
  </si>
  <si>
    <t xml:space="preserve">Опросный лист на Манометр "Автон" </t>
  </si>
  <si>
    <t>Актуализировала ОЛ по ОЛ термоманометров.</t>
  </si>
  <si>
    <t>Добавила версию на первую страницу.</t>
  </si>
  <si>
    <t>Убрала элементы ActiveX.</t>
  </si>
  <si>
    <t>Сжатие рисунков.</t>
  </si>
  <si>
    <t>Версия: 21.05.2025</t>
  </si>
  <si>
    <t>В коде для заказа коррозионно-стойкое исполнение К2 отображается как К2.</t>
  </si>
  <si>
    <t>, 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</si>
</sst>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2"/>
      <name val="Calibri"/>
      <family val="2"/>
      <charset val="204"/>
      <scheme val="minor"/>
    </font>
    <font>
      <b/>
      <i/>
      <u/>
      <sz val="10"/>
      <color theme="9" tint="-0.249977111117893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sz val="10"/>
      <color theme="0"/>
      <name val="Arial Cyr"/>
      <charset val="204"/>
    </font>
    <font>
      <b/>
      <i/>
      <u/>
      <sz val="10"/>
      <color theme="0"/>
      <name val="Arial"/>
      <family val="2"/>
      <charset val="204"/>
    </font>
    <font>
      <b/>
      <sz val="14"/>
      <name val="Arial Cyr"/>
      <charset val="204"/>
    </font>
    <font>
      <b/>
      <sz val="20"/>
      <color rgb="FF00B05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0"/>
      <name val="Arial Cyr"/>
      <charset val="204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b/>
      <sz val="12"/>
      <color rgb="FF1E1E1E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scheme val="minor"/>
    </font>
    <font>
      <b/>
      <sz val="12"/>
      <color theme="0" tint="-0.249977111117893"/>
      <name val="Calibri"/>
      <family val="2"/>
      <charset val="204"/>
      <scheme val="minor"/>
    </font>
    <font>
      <sz val="12"/>
      <color theme="0" tint="-0.249977111117893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0" tint="-0.249977111117893"/>
      <name val="Arial Cyr"/>
      <charset val="204"/>
    </font>
    <font>
      <b/>
      <sz val="12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 tint="-0.499984740745262"/>
      </left>
      <right style="thin">
        <color theme="0" tint="-0.14996795556505021"/>
      </right>
      <top style="medium">
        <color theme="0" tint="-0.499984740745262"/>
      </top>
      <bottom style="thin">
        <color theme="0" tint="-0.149967955565050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14996795556505021"/>
      </bottom>
      <diagonal/>
    </border>
    <border>
      <left/>
      <right/>
      <top style="medium">
        <color theme="0" tint="-0.49998474074526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theme="0" tint="-0.499984740745262"/>
      </top>
      <bottom style="thin">
        <color theme="0" tint="-0.1499679555650502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36">
      <protection locked="0"/>
    </xf>
  </cellStyleXfs>
  <cellXfs count="171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1" fillId="3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5" borderId="0" xfId="0" applyFont="1" applyFill="1"/>
    <xf numFmtId="0" fontId="11" fillId="0" borderId="0" xfId="0" applyFont="1" applyAlignment="1">
      <alignment horizontal="center" vertical="center"/>
    </xf>
    <xf numFmtId="0" fontId="0" fillId="0" borderId="7" xfId="0" applyBorder="1"/>
    <xf numFmtId="0" fontId="6" fillId="0" borderId="7" xfId="0" applyFont="1" applyBorder="1" applyAlignment="1">
      <alignment vertical="center"/>
    </xf>
    <xf numFmtId="0" fontId="0" fillId="0" borderId="7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3" fillId="0" borderId="7" xfId="0" applyNumberFormat="1" applyFont="1" applyBorder="1" applyProtection="1">
      <protection locked="0"/>
    </xf>
    <xf numFmtId="0" fontId="3" fillId="0" borderId="7" xfId="0" applyFont="1" applyBorder="1"/>
    <xf numFmtId="0" fontId="7" fillId="0" borderId="7" xfId="1" applyFont="1" applyFill="1" applyBorder="1" applyAlignment="1">
      <alignment horizontal="center" vertical="center"/>
    </xf>
    <xf numFmtId="0" fontId="1" fillId="0" borderId="7" xfId="0" applyFont="1" applyBorder="1" applyAlignment="1">
      <alignment vertical="top"/>
    </xf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0" fillId="3" borderId="8" xfId="0" applyFill="1" applyBorder="1"/>
    <xf numFmtId="0" fontId="1" fillId="3" borderId="8" xfId="0" applyFont="1" applyFill="1" applyBorder="1"/>
    <xf numFmtId="0" fontId="1" fillId="3" borderId="12" xfId="0" applyFon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3" fillId="0" borderId="7" xfId="0" applyFont="1" applyBorder="1" applyAlignment="1">
      <alignment vertical="top" wrapText="1"/>
    </xf>
    <xf numFmtId="0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0" fontId="1" fillId="0" borderId="0" xfId="0" quotePrefix="1" applyFont="1"/>
    <xf numFmtId="0" fontId="1" fillId="3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/>
    <xf numFmtId="0" fontId="1" fillId="3" borderId="0" xfId="0" applyNumberFormat="1" applyFont="1" applyFill="1"/>
    <xf numFmtId="0" fontId="13" fillId="0" borderId="0" xfId="0" applyFont="1"/>
    <xf numFmtId="0" fontId="13" fillId="0" borderId="0" xfId="0" applyNumberFormat="1" applyFont="1"/>
    <xf numFmtId="0" fontId="13" fillId="0" borderId="0" xfId="0" applyFont="1" applyFill="1"/>
    <xf numFmtId="0" fontId="0" fillId="3" borderId="0" xfId="0" applyFont="1" applyFill="1" applyAlignment="1">
      <alignment horizontal="left"/>
    </xf>
    <xf numFmtId="0" fontId="9" fillId="0" borderId="7" xfId="0" applyFont="1" applyBorder="1"/>
    <xf numFmtId="0" fontId="0" fillId="0" borderId="7" xfId="0" applyBorder="1" applyAlignment="1"/>
    <xf numFmtId="0" fontId="13" fillId="0" borderId="7" xfId="0" applyFont="1" applyBorder="1"/>
    <xf numFmtId="0" fontId="15" fillId="0" borderId="0" xfId="0" applyNumberFormat="1" applyFont="1"/>
    <xf numFmtId="0" fontId="16" fillId="0" borderId="0" xfId="0" applyFont="1" applyAlignment="1">
      <alignment horizontal="right"/>
    </xf>
    <xf numFmtId="0" fontId="16" fillId="0" borderId="0" xfId="0" applyFont="1"/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/>
    <xf numFmtId="14" fontId="18" fillId="0" borderId="0" xfId="0" applyNumberFormat="1" applyFont="1" applyAlignment="1">
      <alignment horizontal="left"/>
    </xf>
    <xf numFmtId="0" fontId="17" fillId="7" borderId="0" xfId="0" applyFont="1" applyFill="1"/>
    <xf numFmtId="14" fontId="18" fillId="7" borderId="0" xfId="0" applyNumberFormat="1" applyFont="1" applyFill="1" applyAlignment="1">
      <alignment horizontal="left"/>
    </xf>
    <xf numFmtId="0" fontId="18" fillId="7" borderId="0" xfId="0" applyFont="1" applyFill="1" applyAlignment="1">
      <alignment horizontal="left"/>
    </xf>
    <xf numFmtId="0" fontId="1" fillId="0" borderId="7" xfId="0" applyFont="1" applyBorder="1" applyAlignment="1" applyProtection="1">
      <alignment horizontal="left" vertical="center"/>
      <protection hidden="1"/>
    </xf>
    <xf numFmtId="0" fontId="3" fillId="0" borderId="7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7" xfId="0" applyFont="1" applyBorder="1" applyProtection="1"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10" xfId="0" applyBorder="1" applyProtection="1">
      <protection locked="0"/>
    </xf>
    <xf numFmtId="14" fontId="18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 applyBorder="1"/>
    <xf numFmtId="0" fontId="16" fillId="0" borderId="19" xfId="0" applyFont="1" applyBorder="1"/>
    <xf numFmtId="0" fontId="16" fillId="0" borderId="0" xfId="0" applyFont="1" applyAlignment="1">
      <alignment horizontal="left"/>
    </xf>
    <xf numFmtId="0" fontId="16" fillId="6" borderId="0" xfId="0" applyFont="1" applyFill="1"/>
    <xf numFmtId="0" fontId="16" fillId="3" borderId="0" xfId="0" applyFont="1" applyFill="1" applyAlignment="1">
      <alignment horizontal="left"/>
    </xf>
    <xf numFmtId="0" fontId="16" fillId="0" borderId="0" xfId="0" applyFont="1" applyAlignment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16" fillId="3" borderId="0" xfId="0" applyFont="1" applyFill="1" applyAlignment="1"/>
    <xf numFmtId="0" fontId="16" fillId="3" borderId="0" xfId="0" applyFont="1" applyFill="1" applyAlignment="1">
      <alignment horizontal="left" vertical="top" wrapText="1"/>
    </xf>
    <xf numFmtId="0" fontId="16" fillId="0" borderId="0" xfId="0" applyNumberFormat="1" applyFont="1"/>
    <xf numFmtId="0" fontId="16" fillId="0" borderId="0" xfId="0" applyNumberFormat="1" applyFont="1" applyAlignment="1">
      <alignment horizontal="right"/>
    </xf>
    <xf numFmtId="0" fontId="16" fillId="0" borderId="0" xfId="0" applyFont="1" applyFill="1"/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19" xfId="0" quotePrefix="1" applyFont="1" applyFill="1" applyBorder="1" applyAlignment="1">
      <alignment wrapText="1"/>
    </xf>
    <xf numFmtId="0" fontId="16" fillId="0" borderId="19" xfId="0" applyFont="1" applyFill="1" applyBorder="1" applyAlignment="1">
      <alignment wrapText="1"/>
    </xf>
    <xf numFmtId="0" fontId="16" fillId="0" borderId="0" xfId="0" applyNumberFormat="1" applyFont="1" applyAlignment="1">
      <alignment wrapText="1"/>
    </xf>
    <xf numFmtId="0" fontId="16" fillId="0" borderId="19" xfId="0" quotePrefix="1" applyFont="1" applyBorder="1"/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/>
    <xf numFmtId="0" fontId="16" fillId="0" borderId="0" xfId="0" quotePrefix="1" applyFont="1" applyBorder="1"/>
    <xf numFmtId="0" fontId="16" fillId="0" borderId="0" xfId="0" quotePrefix="1" applyNumberFormat="1" applyFont="1"/>
    <xf numFmtId="0" fontId="16" fillId="3" borderId="0" xfId="0" applyNumberFormat="1" applyFont="1" applyFill="1"/>
    <xf numFmtId="0" fontId="16" fillId="0" borderId="0" xfId="0" applyNumberFormat="1" applyFont="1" applyAlignment="1">
      <alignment horizontal="left" vertical="top"/>
    </xf>
    <xf numFmtId="0" fontId="16" fillId="6" borderId="19" xfId="0" applyFont="1" applyFill="1" applyBorder="1"/>
    <xf numFmtId="0" fontId="16" fillId="0" borderId="19" xfId="0" applyFont="1" applyBorder="1" applyAlignment="1">
      <alignment horizontal="left"/>
    </xf>
    <xf numFmtId="164" fontId="16" fillId="0" borderId="19" xfId="0" applyNumberFormat="1" applyFont="1" applyBorder="1" applyAlignment="1">
      <alignment horizontal="left"/>
    </xf>
    <xf numFmtId="164" fontId="16" fillId="0" borderId="22" xfId="0" applyNumberFormat="1" applyFont="1" applyBorder="1" applyAlignment="1">
      <alignment horizontal="left"/>
    </xf>
    <xf numFmtId="0" fontId="16" fillId="0" borderId="22" xfId="0" quotePrefix="1" applyFont="1" applyBorder="1"/>
    <xf numFmtId="0" fontId="19" fillId="0" borderId="0" xfId="0" applyFont="1"/>
    <xf numFmtId="0" fontId="19" fillId="3" borderId="0" xfId="0" applyFont="1" applyFill="1" applyAlignment="1">
      <alignment horizontal="right"/>
    </xf>
    <xf numFmtId="0" fontId="16" fillId="5" borderId="0" xfId="0" applyFont="1" applyFill="1"/>
    <xf numFmtId="0" fontId="16" fillId="0" borderId="3" xfId="0" applyFont="1" applyBorder="1" applyAlignment="1">
      <alignment horizontal="left"/>
    </xf>
    <xf numFmtId="0" fontId="16" fillId="0" borderId="0" xfId="0" quotePrefix="1" applyFont="1"/>
    <xf numFmtId="0" fontId="16" fillId="0" borderId="2" xfId="0" quotePrefix="1" applyFont="1" applyBorder="1"/>
    <xf numFmtId="0" fontId="16" fillId="0" borderId="4" xfId="0" quotePrefix="1" applyFont="1" applyBorder="1"/>
    <xf numFmtId="0" fontId="16" fillId="0" borderId="6" xfId="0" quotePrefix="1" applyFont="1" applyBorder="1"/>
    <xf numFmtId="0" fontId="16" fillId="0" borderId="0" xfId="0" applyNumberFormat="1" applyFont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5" fillId="0" borderId="23" xfId="0" applyFont="1" applyBorder="1"/>
    <xf numFmtId="0" fontId="16" fillId="0" borderId="1" xfId="0" applyFont="1" applyBorder="1" applyAlignment="1">
      <alignment horizontal="left"/>
    </xf>
    <xf numFmtId="0" fontId="16" fillId="0" borderId="2" xfId="0" applyFont="1" applyBorder="1"/>
    <xf numFmtId="0" fontId="16" fillId="0" borderId="4" xfId="0" applyFont="1" applyBorder="1"/>
    <xf numFmtId="0" fontId="16" fillId="0" borderId="6" xfId="0" applyFont="1" applyBorder="1"/>
    <xf numFmtId="0" fontId="16" fillId="0" borderId="1" xfId="0" applyFont="1" applyBorder="1"/>
    <xf numFmtId="0" fontId="16" fillId="0" borderId="3" xfId="0" applyFont="1" applyBorder="1"/>
    <xf numFmtId="0" fontId="16" fillId="0" borderId="5" xfId="0" applyFont="1" applyBorder="1"/>
    <xf numFmtId="0" fontId="20" fillId="8" borderId="24" xfId="0" applyFont="1" applyFill="1" applyBorder="1" applyAlignment="1">
      <alignment horizontal="right" vertical="center"/>
    </xf>
    <xf numFmtId="0" fontId="1" fillId="2" borderId="0" xfId="0" applyFont="1" applyFill="1"/>
    <xf numFmtId="0" fontId="0" fillId="0" borderId="0" xfId="0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7" xfId="0" applyFont="1" applyBorder="1"/>
    <xf numFmtId="0" fontId="0" fillId="0" borderId="9" xfId="0" applyFont="1" applyBorder="1"/>
    <xf numFmtId="0" fontId="1" fillId="0" borderId="10" xfId="0" applyFont="1" applyBorder="1" applyAlignment="1">
      <alignment wrapText="1"/>
    </xf>
    <xf numFmtId="0" fontId="3" fillId="0" borderId="11" xfId="0" applyNumberFormat="1" applyFont="1" applyBorder="1" applyProtection="1">
      <protection locked="0"/>
    </xf>
    <xf numFmtId="0" fontId="1" fillId="0" borderId="36" xfId="0" applyNumberFormat="1" applyFont="1" applyBorder="1" applyAlignment="1" applyProtection="1">
      <alignment vertical="center"/>
      <protection locked="0"/>
    </xf>
    <xf numFmtId="0" fontId="1" fillId="4" borderId="12" xfId="0" applyFont="1" applyFill="1" applyBorder="1" applyAlignment="1" applyProtection="1">
      <alignment horizontal="left" vertical="center"/>
      <protection hidden="1"/>
    </xf>
    <xf numFmtId="0" fontId="1" fillId="4" borderId="25" xfId="0" applyFont="1" applyFill="1" applyBorder="1" applyAlignment="1" applyProtection="1">
      <alignment horizontal="left" vertical="center"/>
      <protection hidden="1"/>
    </xf>
    <xf numFmtId="0" fontId="1" fillId="4" borderId="13" xfId="0" applyFont="1" applyFill="1" applyBorder="1" applyAlignment="1" applyProtection="1">
      <alignment horizontal="left" vertical="center"/>
      <protection hidden="1"/>
    </xf>
    <xf numFmtId="0" fontId="1" fillId="4" borderId="20" xfId="0" applyFont="1" applyFill="1" applyBorder="1" applyAlignment="1" applyProtection="1">
      <alignment horizontal="left" vertical="top" wrapText="1"/>
      <protection hidden="1"/>
    </xf>
    <xf numFmtId="0" fontId="1" fillId="4" borderId="26" xfId="0" applyFont="1" applyFill="1" applyBorder="1" applyAlignment="1" applyProtection="1">
      <alignment horizontal="left" vertical="top" wrapText="1"/>
      <protection hidden="1"/>
    </xf>
    <xf numFmtId="0" fontId="1" fillId="4" borderId="21" xfId="0" applyFont="1" applyFill="1" applyBorder="1" applyAlignment="1" applyProtection="1">
      <alignment horizontal="left" vertical="top" wrapText="1"/>
      <protection hidden="1"/>
    </xf>
    <xf numFmtId="0" fontId="0" fillId="4" borderId="17" xfId="0" applyFill="1" applyBorder="1" applyAlignment="1" applyProtection="1">
      <alignment horizontal="left" vertical="top" wrapText="1"/>
      <protection hidden="1"/>
    </xf>
    <xf numFmtId="0" fontId="0" fillId="4" borderId="26" xfId="0" applyFill="1" applyBorder="1" applyAlignment="1" applyProtection="1">
      <alignment horizontal="left" vertical="top" wrapText="1"/>
      <protection hidden="1"/>
    </xf>
    <xf numFmtId="0" fontId="0" fillId="4" borderId="18" xfId="0" applyFill="1" applyBorder="1" applyAlignment="1" applyProtection="1">
      <alignment horizontal="left" vertical="top" wrapText="1"/>
      <protection hidden="1"/>
    </xf>
    <xf numFmtId="0" fontId="1" fillId="0" borderId="37" xfId="2" applyBorder="1" applyAlignment="1">
      <alignment horizontal="left" vertical="center"/>
      <protection locked="0"/>
    </xf>
    <xf numFmtId="0" fontId="1" fillId="0" borderId="38" xfId="2" applyBorder="1" applyAlignment="1">
      <alignment horizontal="left" vertical="center"/>
      <protection locked="0"/>
    </xf>
    <xf numFmtId="0" fontId="1" fillId="0" borderId="39" xfId="2" applyBorder="1" applyAlignment="1">
      <alignment horizontal="left" vertical="center"/>
      <protection locked="0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 applyProtection="1">
      <alignment horizontal="left" vertical="center" wrapText="1"/>
      <protection hidden="1"/>
    </xf>
    <xf numFmtId="0" fontId="1" fillId="0" borderId="28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37" xfId="2" applyBorder="1" applyAlignment="1">
      <alignment horizontal="left" vertical="top"/>
      <protection locked="0"/>
    </xf>
    <xf numFmtId="0" fontId="1" fillId="0" borderId="38" xfId="2" applyBorder="1" applyAlignment="1">
      <alignment horizontal="left" vertical="top"/>
      <protection locked="0"/>
    </xf>
    <xf numFmtId="0" fontId="1" fillId="0" borderId="39" xfId="2" applyBorder="1" applyAlignment="1">
      <alignment horizontal="left" vertical="top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3" borderId="0" xfId="0" applyFont="1" applyFill="1" applyAlignment="1">
      <alignment horizontal="left" vertical="top"/>
    </xf>
    <xf numFmtId="0" fontId="0" fillId="0" borderId="7" xfId="0" applyBorder="1" applyAlignment="1">
      <alignment horizontal="center"/>
    </xf>
    <xf numFmtId="0" fontId="9" fillId="3" borderId="7" xfId="0" applyFont="1" applyFill="1" applyBorder="1" applyAlignment="1">
      <alignment horizontal="left" vertical="center"/>
    </xf>
  </cellXfs>
  <cellStyles count="3">
    <cellStyle name="Гиперссылка" xfId="1" builtinId="8"/>
    <cellStyle name="Обычный" xfId="0" builtinId="0"/>
    <cellStyle name="Поле ввода" xfId="2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 tint="-0.249977111117893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0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2" dropStyle="combo" dx="16" fmlaLink="Лист1!$A$5" fmlaRange="Лист1!$D$6:$D$16" noThreeD="1" sel="7" val="0"/>
</file>

<file path=xl/ctrlProps/ctrlProp10.xml><?xml version="1.0" encoding="utf-8"?>
<formControlPr xmlns="http://schemas.microsoft.com/office/spreadsheetml/2009/9/main" objectType="CheckBox" fmlaLink="Лист1!$A$163" lockText="1" noThreeD="1"/>
</file>

<file path=xl/ctrlProps/ctrlProp2.xml><?xml version="1.0" encoding="utf-8"?>
<formControlPr xmlns="http://schemas.microsoft.com/office/spreadsheetml/2009/9/main" objectType="Drop" dropStyle="combo" dx="16" fmlaLink="Лист1!$A$19" fmlaRange="Лист1!$D$20:$D$25" noThreeD="1" sel="2" val="0"/>
</file>

<file path=xl/ctrlProps/ctrlProp3.xml><?xml version="1.0" encoding="utf-8"?>
<formControlPr xmlns="http://schemas.microsoft.com/office/spreadsheetml/2009/9/main" objectType="Drop" dropStyle="combo" dx="16" fmlaLink="Лист1!$A$104" fmlaRange="Лист1!$D$105:$D$107" noThreeD="1" sel="2" val="0"/>
</file>

<file path=xl/ctrlProps/ctrlProp4.xml><?xml version="1.0" encoding="utf-8"?>
<formControlPr xmlns="http://schemas.microsoft.com/office/spreadsheetml/2009/9/main" objectType="Drop" dropStyle="combo" dx="16" fmlaLink="Лист1!$A$116" fmlaRange="Лист1!$D$117:$D$118" noThreeD="1" val="0"/>
</file>

<file path=xl/ctrlProps/ctrlProp5.xml><?xml version="1.0" encoding="utf-8"?>
<formControlPr xmlns="http://schemas.microsoft.com/office/spreadsheetml/2009/9/main" objectType="Drop" dropStyle="combo" dx="16" fmlaLink="Лист1!$A$127" fmlaRange="Лист1!$D$128:$D$129" noThreeD="1" val="0"/>
</file>

<file path=xl/ctrlProps/ctrlProp6.xml><?xml version="1.0" encoding="utf-8"?>
<formControlPr xmlns="http://schemas.microsoft.com/office/spreadsheetml/2009/9/main" objectType="Drop" dropStyle="combo" dx="16" fmlaLink="Лист1!$A$121" fmlaRange="Лист1!$D$122:$D$124" noThreeD="1" val="0"/>
</file>

<file path=xl/ctrlProps/ctrlProp7.xml><?xml version="1.0" encoding="utf-8"?>
<formControlPr xmlns="http://schemas.microsoft.com/office/spreadsheetml/2009/9/main" objectType="CheckBox" fmlaLink="Лист1!$A$146" lockText="1" noThreeD="1"/>
</file>

<file path=xl/ctrlProps/ctrlProp8.xml><?xml version="1.0" encoding="utf-8"?>
<formControlPr xmlns="http://schemas.microsoft.com/office/spreadsheetml/2009/9/main" objectType="CheckBox" fmlaLink="Лист1!$A$151" lockText="1" noThreeD="1"/>
</file>

<file path=xl/ctrlProps/ctrlProp9.xml><?xml version="1.0" encoding="utf-8"?>
<formControlPr xmlns="http://schemas.microsoft.com/office/spreadsheetml/2009/9/main" objectType="CheckBox" fmlaLink="Лист1!$A$156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</xdr:row>
          <xdr:rowOff>38100</xdr:rowOff>
        </xdr:from>
        <xdr:to>
          <xdr:col>7</xdr:col>
          <xdr:colOff>19050</xdr:colOff>
          <xdr:row>4</xdr:row>
          <xdr:rowOff>285750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</xdr:row>
          <xdr:rowOff>38100</xdr:rowOff>
        </xdr:from>
        <xdr:to>
          <xdr:col>7</xdr:col>
          <xdr:colOff>19050</xdr:colOff>
          <xdr:row>8</xdr:row>
          <xdr:rowOff>285750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11</xdr:row>
          <xdr:rowOff>47625</xdr:rowOff>
        </xdr:from>
        <xdr:to>
          <xdr:col>7</xdr:col>
          <xdr:colOff>19050</xdr:colOff>
          <xdr:row>11</xdr:row>
          <xdr:rowOff>295275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13</xdr:row>
          <xdr:rowOff>28575</xdr:rowOff>
        </xdr:from>
        <xdr:to>
          <xdr:col>7</xdr:col>
          <xdr:colOff>19050</xdr:colOff>
          <xdr:row>13</xdr:row>
          <xdr:rowOff>276225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47625</xdr:rowOff>
        </xdr:from>
        <xdr:to>
          <xdr:col>7</xdr:col>
          <xdr:colOff>19050</xdr:colOff>
          <xdr:row>17</xdr:row>
          <xdr:rowOff>295275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15</xdr:row>
          <xdr:rowOff>28575</xdr:rowOff>
        </xdr:from>
        <xdr:to>
          <xdr:col>7</xdr:col>
          <xdr:colOff>19050</xdr:colOff>
          <xdr:row>15</xdr:row>
          <xdr:rowOff>276225</xdr:rowOff>
        </xdr:to>
        <xdr:sp macro="" textlink="">
          <xdr:nvSpPr>
            <xdr:cNvPr id="2188" name="Drop Down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57150</xdr:rowOff>
        </xdr:from>
        <xdr:to>
          <xdr:col>5</xdr:col>
          <xdr:colOff>809625</xdr:colOff>
          <xdr:row>20</xdr:row>
          <xdr:rowOff>257175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47625</xdr:rowOff>
        </xdr:from>
        <xdr:to>
          <xdr:col>5</xdr:col>
          <xdr:colOff>809625</xdr:colOff>
          <xdr:row>21</xdr:row>
          <xdr:rowOff>247650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28575</xdr:rowOff>
        </xdr:from>
        <xdr:to>
          <xdr:col>5</xdr:col>
          <xdr:colOff>809625</xdr:colOff>
          <xdr:row>22</xdr:row>
          <xdr:rowOff>257175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38100</xdr:rowOff>
        </xdr:from>
        <xdr:to>
          <xdr:col>5</xdr:col>
          <xdr:colOff>809625</xdr:colOff>
          <xdr:row>23</xdr:row>
          <xdr:rowOff>266700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1298295</xdr:colOff>
      <xdr:row>5</xdr:row>
      <xdr:rowOff>66830</xdr:rowOff>
    </xdr:from>
    <xdr:to>
      <xdr:col>2</xdr:col>
      <xdr:colOff>2382141</xdr:colOff>
      <xdr:row>5</xdr:row>
      <xdr:rowOff>2826727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6430" y="13174695"/>
          <a:ext cx="1083846" cy="2759897"/>
        </a:xfrm>
        <a:prstGeom prst="rect">
          <a:avLst/>
        </a:prstGeom>
      </xdr:spPr>
    </xdr:pic>
    <xdr:clientData/>
  </xdr:twoCellAnchor>
  <xdr:twoCellAnchor>
    <xdr:from>
      <xdr:col>2</xdr:col>
      <xdr:colOff>85725</xdr:colOff>
      <xdr:row>7</xdr:row>
      <xdr:rowOff>47626</xdr:rowOff>
    </xdr:from>
    <xdr:to>
      <xdr:col>4</xdr:col>
      <xdr:colOff>261068</xdr:colOff>
      <xdr:row>7</xdr:row>
      <xdr:rowOff>2924176</xdr:rowOff>
    </xdr:to>
    <xdr:pic>
      <xdr:nvPicPr>
        <xdr:cNvPr id="21" name="Рисунок 20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95325" y="20231101"/>
          <a:ext cx="2918543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85726</xdr:colOff>
      <xdr:row>9</xdr:row>
      <xdr:rowOff>47626</xdr:rowOff>
    </xdr:from>
    <xdr:to>
      <xdr:col>2</xdr:col>
      <xdr:colOff>2143126</xdr:colOff>
      <xdr:row>9</xdr:row>
      <xdr:rowOff>2562923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6" y="21745576"/>
          <a:ext cx="2057400" cy="2515297"/>
        </a:xfrm>
        <a:prstGeom prst="rect">
          <a:avLst/>
        </a:prstGeom>
      </xdr:spPr>
    </xdr:pic>
    <xdr:clientData/>
  </xdr:twoCellAnchor>
  <xdr:twoCellAnchor>
    <xdr:from>
      <xdr:col>2</xdr:col>
      <xdr:colOff>95249</xdr:colOff>
      <xdr:row>11</xdr:row>
      <xdr:rowOff>38099</xdr:rowOff>
    </xdr:from>
    <xdr:to>
      <xdr:col>2</xdr:col>
      <xdr:colOff>2431110</xdr:colOff>
      <xdr:row>11</xdr:row>
      <xdr:rowOff>1857375</xdr:rowOff>
    </xdr:to>
    <xdr:pic>
      <xdr:nvPicPr>
        <xdr:cNvPr id="20" name="Рисунок 19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4849" y="24555449"/>
          <a:ext cx="2335861" cy="181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36635</xdr:colOff>
      <xdr:row>5</xdr:row>
      <xdr:rowOff>51288</xdr:rowOff>
    </xdr:from>
    <xdr:to>
      <xdr:col>4</xdr:col>
      <xdr:colOff>987975</xdr:colOff>
      <xdr:row>5</xdr:row>
      <xdr:rowOff>2806212</xdr:rowOff>
    </xdr:to>
    <xdr:pic>
      <xdr:nvPicPr>
        <xdr:cNvPr id="23" name="Рисунок 22"/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92366" y="13159153"/>
          <a:ext cx="951340" cy="2754924"/>
        </a:xfrm>
        <a:prstGeom prst="rect">
          <a:avLst/>
        </a:prstGeom>
      </xdr:spPr>
    </xdr:pic>
    <xdr:clientData/>
  </xdr:twoCellAnchor>
  <xdr:twoCellAnchor editAs="oneCell">
    <xdr:from>
      <xdr:col>4</xdr:col>
      <xdr:colOff>1355479</xdr:colOff>
      <xdr:row>5</xdr:row>
      <xdr:rowOff>102577</xdr:rowOff>
    </xdr:from>
    <xdr:to>
      <xdr:col>4</xdr:col>
      <xdr:colOff>2857850</xdr:colOff>
      <xdr:row>5</xdr:row>
      <xdr:rowOff>2798884</xdr:rowOff>
    </xdr:to>
    <xdr:pic>
      <xdr:nvPicPr>
        <xdr:cNvPr id="24" name="Рисунок 23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11210" y="13210442"/>
          <a:ext cx="1502371" cy="2696307"/>
        </a:xfrm>
        <a:prstGeom prst="rect">
          <a:avLst/>
        </a:prstGeom>
      </xdr:spPr>
    </xdr:pic>
    <xdr:clientData/>
  </xdr:twoCellAnchor>
  <xdr:twoCellAnchor editAs="oneCell">
    <xdr:from>
      <xdr:col>1</xdr:col>
      <xdr:colOff>51288</xdr:colOff>
      <xdr:row>5</xdr:row>
      <xdr:rowOff>14276</xdr:rowOff>
    </xdr:from>
    <xdr:to>
      <xdr:col>2</xdr:col>
      <xdr:colOff>893884</xdr:colOff>
      <xdr:row>5</xdr:row>
      <xdr:rowOff>2865835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80" y="13122141"/>
          <a:ext cx="1099039" cy="285155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Таблица155" displayName="Таблица155" ref="D104:E107" totalsRowShown="0" headerRowDxfId="107" dataDxfId="106">
  <autoFilter ref="D104:E107"/>
  <tableColumns count="2">
    <tableColumn id="1" name="Столбец1" dataDxfId="105"/>
    <tableColumn id="2" name="Столбец2" dataDxfId="104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id="13" name="Таблица111" displayName="Таблица111" ref="D97:D101" totalsRowShown="0" headerRowDxfId="74" dataDxfId="73">
  <autoFilter ref="D97:D101"/>
  <tableColumns count="1">
    <tableColumn id="1" name="Столбец1" dataDxfId="72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id="15" name="Таблица133" displayName="Таблица133" ref="D116:F118" totalsRowShown="0" headerRowDxfId="71" dataDxfId="70">
  <autoFilter ref="D116:F118"/>
  <tableColumns count="3">
    <tableColumn id="1" name="Столбец1" dataDxfId="69">
      <calculatedColumnFormula>IF(A119=1,"LoRaWAN","нет")</calculatedColumnFormula>
    </tableColumn>
    <tableColumn id="2" name="Столбец2" dataDxfId="68"/>
    <tableColumn id="3" name="Столбец3" dataDxfId="67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id="17" name="Таблица16" displayName="Таблица16" ref="D110:E113" totalsRowShown="0" headerRowDxfId="66" dataDxfId="65">
  <autoFilter ref="D110:E113"/>
  <tableColumns count="2">
    <tableColumn id="1" name="Столбец1" dataDxfId="64"/>
    <tableColumn id="2" name="Столбец2" dataDxfId="63"/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id="18" name="Таблица188" displayName="Таблица188" ref="D127:E129" totalsRowShown="0" headerRowDxfId="62" dataDxfId="61">
  <autoFilter ref="D127:E129"/>
  <tableColumns count="2">
    <tableColumn id="1" name="Столбец1" dataDxfId="60"/>
    <tableColumn id="2" name="Столбец2" dataDxfId="59"/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id="9" name="Таблица4" displayName="Таблица4" ref="D54:E57" totalsRowShown="0" headerRowDxfId="58" dataDxfId="57">
  <autoFilter ref="D54:E57"/>
  <tableColumns count="2">
    <tableColumn id="1" name="Столбец1" dataDxfId="56">
      <calculatedColumnFormula>HLOOKUP($F$46,Таблица25[#All],4)</calculatedColumnFormula>
    </tableColumn>
    <tableColumn id="2" name="Столбец2" dataDxfId="55">
      <calculatedColumnFormula>IF(D55="","",", "&amp;D55&amp;"C")</calculatedColumnFormula>
    </tableColumn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id="16" name="Таблица17" displayName="Таблица17" ref="D45:E50" totalsRowShown="0" headerRowDxfId="54" dataDxfId="53">
  <autoFilter ref="D45:E50"/>
  <tableColumns count="2">
    <tableColumn id="1" name="Столбец1" dataDxfId="52"/>
    <tableColumn id="2" name="Столбец2" dataDxfId="51">
      <calculatedColumnFormula>", "&amp;Таблица17[[#This Row],[Столбец1]]&amp;"C"</calculatedColumnFormula>
    </tableColumn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id="24" name="Таблица24" displayName="Таблица24" ref="H45:L50" totalsRowShown="0" headerRowDxfId="50" dataDxfId="49">
  <autoFilter ref="H45:L50"/>
  <tableColumns count="5">
    <tableColumn id="2" name="выносной для ввинчивания в термокарман" dataDxfId="48"/>
    <tableColumn id="3" name="выносной другой" dataDxfId="47"/>
    <tableColumn id="4" name="выносной накладной под винт" dataDxfId="46"/>
    <tableColumn id="6" name="выносной накладной с лыской" dataDxfId="45"/>
    <tableColumn id="7" name="отсутствует" dataDxfId="44"/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id="25" name="Таблица25" displayName="Таблица25" ref="H54:L57" totalsRowShown="0" headerRowDxfId="43" dataDxfId="42" tableBorderDxfId="41">
  <autoFilter ref="H54:L57"/>
  <tableColumns count="5">
    <tableColumn id="2" name="выносной для ввинчивания в термокарман" dataDxfId="40"/>
    <tableColumn id="3" name="выносной другой" dataDxfId="39"/>
    <tableColumn id="4" name="выносной накладной под винт" dataDxfId="38"/>
    <tableColumn id="6" name="выносной накладной с лыской" dataDxfId="37"/>
    <tableColumn id="7" name="отсутствует" dataDxfId="36"/>
  </tableColumns>
  <tableStyleInfo name="TableStyleLight15" showFirstColumn="0" showLastColumn="0" showRowStripes="1" showColumnStripes="0"/>
</table>
</file>

<file path=xl/tables/table18.xml><?xml version="1.0" encoding="utf-8"?>
<table xmlns="http://schemas.openxmlformats.org/spreadsheetml/2006/main" id="26" name="Таблица26" displayName="Таблица26" ref="D82:E84" totalsRowShown="0" headerRowDxfId="35" dataDxfId="34">
  <autoFilter ref="D82:E84"/>
  <tableColumns count="2">
    <tableColumn id="1" name="Столбец1" dataDxfId="33">
      <calculatedColumnFormula>IF(AND(A26=1,A31=1),"коммутационная (клеммная) головка","")</calculatedColumnFormula>
    </tableColumn>
    <tableColumn id="2" name="Столбец2" dataDxfId="32">
      <calculatedColumnFormula>IF(AND(A26=1,A31=1),"2","")</calculatedColumnFormula>
    </tableColumn>
  </tableColumns>
  <tableStyleInfo name="TableStyleLight15" showFirstColumn="0" showLastColumn="0" showRowStripes="1" showColumnStripes="0"/>
</table>
</file>

<file path=xl/tables/table19.xml><?xml version="1.0" encoding="utf-8"?>
<table xmlns="http://schemas.openxmlformats.org/spreadsheetml/2006/main" id="27" name="Таблица27" displayName="Таблица27" ref="H60:L71" totalsRowShown="0" headerRowDxfId="31" dataDxfId="30">
  <autoFilter ref="H60:L71"/>
  <tableColumns count="5">
    <tableColumn id="2" name="выносной для ввинчивания в термокарман" dataDxfId="29"/>
    <tableColumn id="3" name="выносной другой" dataDxfId="28"/>
    <tableColumn id="4" name="выносной накладной под винт" dataDxfId="27"/>
    <tableColumn id="6" name="выносной накладной с лыской" dataDxfId="26"/>
    <tableColumn id="7" name="отсутствует" dataDxfId="25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D5:E16" totalsRowShown="0" headerRowDxfId="103" dataDxfId="102">
  <autoFilter ref="D5:E16"/>
  <tableColumns count="2">
    <tableColumn id="1" name="Столбец1" dataDxfId="101"/>
    <tableColumn id="2" name="Столбец2" dataDxfId="100"/>
  </tableColumns>
  <tableStyleInfo name="TableStyleLight15" showFirstColumn="0" showLastColumn="0" showRowStripes="1" showColumnStripes="0"/>
</table>
</file>

<file path=xl/tables/table20.xml><?xml version="1.0" encoding="utf-8"?>
<table xmlns="http://schemas.openxmlformats.org/spreadsheetml/2006/main" id="28" name="Таблица28" displayName="Таблица28" ref="H74:L79" totalsRowShown="0" headerRowDxfId="24" dataDxfId="22" headerRowBorderDxfId="23" tableBorderDxfId="21">
  <autoFilter ref="H74:L79"/>
  <tableColumns count="5">
    <tableColumn id="2" name="выносной для ввинчивания в термокарман" dataDxfId="20"/>
    <tableColumn id="3" name="выносной другой" dataDxfId="19"/>
    <tableColumn id="4" name="выносной накладной под винт" dataDxfId="18"/>
    <tableColumn id="6" name="выносной накладной с лыской" dataDxfId="17"/>
    <tableColumn id="7" name="отсутствует" dataDxfId="16"/>
  </tableColumns>
  <tableStyleInfo name="TableStyleLight15" showFirstColumn="0" showLastColumn="0" showRowStripes="1" showColumnStripes="0"/>
</table>
</file>

<file path=xl/tables/table21.xml><?xml version="1.0" encoding="utf-8"?>
<table xmlns="http://schemas.openxmlformats.org/spreadsheetml/2006/main" id="29" name="Таблица29" displayName="Таблица29" ref="H97:L101" totalsRowShown="0" headerRowDxfId="15" dataDxfId="13" headerRowBorderDxfId="14">
  <autoFilter ref="H97:L101"/>
  <tableColumns count="5">
    <tableColumn id="2" name="выносной для ввинчивания в термокарман" dataDxfId="12"/>
    <tableColumn id="3" name="выносной другой" dataDxfId="11"/>
    <tableColumn id="4" name="выносной накладной под винт" dataDxfId="10"/>
    <tableColumn id="6" name="выносной накладной с лыской" dataDxfId="9"/>
    <tableColumn id="7" name="отсутствует" dataDxfId="8"/>
  </tableColumns>
  <tableStyleInfo name="TableStyleLight15" showFirstColumn="0" showLastColumn="0" showRowStripes="1" showColumnStripes="0"/>
</table>
</file>

<file path=xl/tables/table22.xml><?xml version="1.0" encoding="utf-8"?>
<table xmlns="http://schemas.openxmlformats.org/spreadsheetml/2006/main" id="19" name="Таблица19" displayName="Таблица19" ref="D121:E124" totalsRowShown="0" headerRowDxfId="7" dataDxfId="6">
  <autoFilter ref="D121:E124"/>
  <tableColumns count="2">
    <tableColumn id="1" name="Столбец1" dataDxfId="5"/>
    <tableColumn id="2" name="Столбец2" dataDxfId="4"/>
  </tableColumns>
  <tableStyleInfo name="TableStyleLight15" showFirstColumn="0" showLastColumn="0" showRowStripes="1" showColumnStripes="0"/>
</table>
</file>

<file path=xl/tables/table23.xml><?xml version="1.0" encoding="utf-8"?>
<table xmlns="http://schemas.openxmlformats.org/spreadsheetml/2006/main" id="5" name="Таблица8" displayName="Таблица8" ref="D132:E143" totalsRowShown="0" headerRowDxfId="3" dataDxfId="2">
  <autoFilter ref="D132:E143"/>
  <tableColumns count="2">
    <tableColumn id="1" name="Столбец1" dataDxfId="1"/>
    <tableColumn id="3" name="Столбец2" dataDxfId="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Таблица2" displayName="Таблица2" ref="D19:E25" totalsRowShown="0" headerRowDxfId="99" dataDxfId="98">
  <autoFilter ref="D19:E25"/>
  <tableColumns count="2">
    <tableColumn id="1" name="Столбец1" dataDxfId="97"/>
    <tableColumn id="2" name="Столбец2" dataDxfId="96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4" name="Таблица5" displayName="Таблица5" ref="D28:D30" totalsRowShown="0" headerRowDxfId="95" dataDxfId="94">
  <autoFilter ref="D28:D30"/>
  <tableColumns count="1">
    <tableColumn id="1" name="Столбец1" dataDxfId="93">
      <calculatedColumnFormula>IF(OFFSET(F29,0,#REF!-1)=0,"",OFFSET(F29,0,#REF!-1))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7" name="Таблица66" displayName="Таблица66" ref="D60:D71" totalsRowShown="0" headerRowDxfId="92" dataDxfId="91">
  <autoFilter ref="D60:D71"/>
  <tableColumns count="1">
    <tableColumn id="1" name="Столбец1" dataDxfId="90">
      <calculatedColumnFormula>HLOOKUP($F$46,Таблица27[#All],2)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8" name="Таблица77" displayName="Таблица77" ref="D74:D79" totalsRowShown="0" headerRowDxfId="89" dataDxfId="88">
  <autoFilter ref="D74:D79"/>
  <tableColumns count="1">
    <tableColumn id="1" name="Столбец1" dataDxfId="87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10" name="Таблица6" displayName="Таблица6" ref="D40:E42" totalsRowShown="0" headerRowDxfId="86" dataDxfId="85">
  <autoFilter ref="D40:E42"/>
  <tableColumns count="2">
    <tableColumn id="1" name="Столбец1" dataDxfId="84"/>
    <tableColumn id="2" name="Столбец2" dataDxfId="83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11" name="Таблица7" displayName="Таблица7" ref="D33:E37" totalsRowShown="0" headerRowDxfId="82" dataDxfId="81">
  <autoFilter ref="D33:E37"/>
  <tableColumns count="2">
    <tableColumn id="1" name="Столбец1" dataDxfId="80">
      <calculatedColumnFormula>OFFSET(F34,0,A26-1)</calculatedColumnFormula>
    </tableColumn>
    <tableColumn id="5" name="Столбец2" dataDxfId="79">
      <calculatedColumnFormula>OFFSET(I34,0,$A$28-1)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12" name="Таблица100" displayName="Таблица100" ref="D87:E94" totalsRowShown="0" headerRowDxfId="78" dataDxfId="77">
  <autoFilter ref="D87:E94"/>
  <tableColumns count="2">
    <tableColumn id="1" name="Столбец1" dataDxfId="76">
      <calculatedColumnFormula>IF(OFFSET(F88:F94,0,$A$28-1)=0,"",OFFSET(F88:F94,0,$A$28-1))</calculatedColumnFormula>
    </tableColumn>
    <tableColumn id="2" name="Столбец2" dataDxfId="75">
      <calculatedColumnFormula>IF(D88="","",", "&amp;D88&amp;"м")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outlinePr summaryBelow="0" summaryRight="0"/>
    <pageSetUpPr fitToPage="1"/>
  </sheetPr>
  <dimension ref="A1:K50"/>
  <sheetViews>
    <sheetView tabSelected="1" zoomScaleNormal="100" zoomScaleSheetLayoutView="115" workbookViewId="0">
      <selection activeCell="L14" sqref="L14"/>
    </sheetView>
  </sheetViews>
  <sheetFormatPr defaultRowHeight="12.75" x14ac:dyDescent="0.2"/>
  <cols>
    <col min="1" max="1" width="3.140625" customWidth="1"/>
    <col min="2" max="2" width="3.28515625" customWidth="1"/>
    <col min="3" max="3" width="13.85546875" customWidth="1"/>
    <col min="4" max="4" width="3.5703125" customWidth="1"/>
    <col min="5" max="5" width="9.28515625" customWidth="1"/>
    <col min="6" max="6" width="13.28515625" customWidth="1"/>
    <col min="7" max="7" width="47.28515625" customWidth="1"/>
    <col min="8" max="8" width="1.7109375" customWidth="1"/>
    <col min="9" max="9" width="24" customWidth="1"/>
    <col min="10" max="10" width="1.28515625" customWidth="1"/>
    <col min="11" max="11" width="4" style="2" customWidth="1"/>
    <col min="12" max="12" width="44.85546875" customWidth="1"/>
    <col min="13" max="13" width="22.85546875" customWidth="1"/>
    <col min="14" max="19" width="10.42578125" customWidth="1"/>
    <col min="20" max="22" width="19.28515625" customWidth="1"/>
  </cols>
  <sheetData>
    <row r="1" spans="1:11" s="1" customFormat="1" ht="17.25" customHeight="1" x14ac:dyDescent="0.25">
      <c r="A1" s="150"/>
      <c r="B1" s="150"/>
      <c r="C1" s="150"/>
      <c r="D1" s="150"/>
      <c r="E1" s="150"/>
      <c r="F1" s="150"/>
      <c r="G1" s="150"/>
      <c r="H1" s="150"/>
      <c r="I1" s="127" t="s">
        <v>117</v>
      </c>
      <c r="J1" s="14"/>
      <c r="K1" s="128"/>
    </row>
    <row r="2" spans="1:11" ht="35.25" customHeight="1" x14ac:dyDescent="0.25">
      <c r="A2" s="12"/>
      <c r="B2" s="12"/>
      <c r="C2" s="13" t="s">
        <v>112</v>
      </c>
      <c r="D2" s="13"/>
      <c r="E2" s="13"/>
      <c r="F2" s="13"/>
      <c r="G2" s="14"/>
      <c r="H2" s="12"/>
      <c r="I2" s="15" t="s">
        <v>14</v>
      </c>
      <c r="J2" s="14"/>
    </row>
    <row r="3" spans="1:11" ht="18" customHeight="1" x14ac:dyDescent="0.25">
      <c r="A3" s="12"/>
      <c r="B3" s="16" t="s">
        <v>5</v>
      </c>
      <c r="C3" s="16"/>
      <c r="D3" s="16"/>
      <c r="E3" s="16"/>
      <c r="F3" s="16"/>
      <c r="G3" s="16"/>
      <c r="H3" s="16"/>
      <c r="I3" s="15"/>
      <c r="J3" s="14"/>
    </row>
    <row r="4" spans="1:11" ht="3.6" customHeight="1" thickBot="1" x14ac:dyDescent="0.3">
      <c r="A4" s="12"/>
      <c r="B4" s="16"/>
      <c r="C4" s="154" t="s">
        <v>6</v>
      </c>
      <c r="D4" s="155"/>
      <c r="E4" s="155"/>
      <c r="F4" s="156"/>
      <c r="G4" s="16"/>
      <c r="H4" s="16"/>
      <c r="I4" s="135"/>
      <c r="J4" s="14"/>
    </row>
    <row r="5" spans="1:11" ht="24.95" customHeight="1" x14ac:dyDescent="0.25">
      <c r="A5" s="12"/>
      <c r="B5" s="16"/>
      <c r="C5" s="157"/>
      <c r="D5" s="158"/>
      <c r="E5" s="158"/>
      <c r="F5" s="159"/>
      <c r="G5" s="16"/>
      <c r="H5" s="133"/>
      <c r="I5" s="137"/>
      <c r="J5" s="134"/>
    </row>
    <row r="6" spans="1:11" ht="3.6" customHeight="1" x14ac:dyDescent="0.25">
      <c r="A6" s="12"/>
      <c r="B6" s="16"/>
      <c r="C6" s="160"/>
      <c r="D6" s="161"/>
      <c r="E6" s="161"/>
      <c r="F6" s="162"/>
      <c r="G6" s="16"/>
      <c r="H6" s="16"/>
      <c r="I6" s="136"/>
      <c r="J6" s="14"/>
    </row>
    <row r="7" spans="1:11" ht="3.95" customHeight="1" x14ac:dyDescent="0.25">
      <c r="A7" s="12"/>
      <c r="B7" s="16"/>
      <c r="C7" s="130"/>
      <c r="D7" s="131"/>
      <c r="E7" s="131"/>
      <c r="F7" s="132"/>
      <c r="G7" s="16"/>
      <c r="H7" s="16"/>
      <c r="I7" s="17"/>
      <c r="J7" s="14"/>
    </row>
    <row r="8" spans="1:11" ht="3.6" customHeight="1" thickBot="1" x14ac:dyDescent="0.3">
      <c r="A8" s="12"/>
      <c r="B8" s="16"/>
      <c r="C8" s="154" t="s">
        <v>21</v>
      </c>
      <c r="D8" s="155"/>
      <c r="E8" s="155"/>
      <c r="F8" s="156"/>
      <c r="G8" s="16"/>
      <c r="H8" s="16"/>
      <c r="I8" s="17"/>
      <c r="J8" s="14"/>
    </row>
    <row r="9" spans="1:11" ht="24.95" customHeight="1" x14ac:dyDescent="0.25">
      <c r="A9" s="12"/>
      <c r="B9" s="16"/>
      <c r="C9" s="157"/>
      <c r="D9" s="158"/>
      <c r="E9" s="158"/>
      <c r="F9" s="159"/>
      <c r="G9" s="16"/>
      <c r="H9" s="16"/>
      <c r="I9" s="137"/>
      <c r="J9" s="14"/>
    </row>
    <row r="10" spans="1:11" ht="3.6" customHeight="1" x14ac:dyDescent="0.25">
      <c r="A10" s="12"/>
      <c r="B10" s="16"/>
      <c r="C10" s="160"/>
      <c r="D10" s="161"/>
      <c r="E10" s="161"/>
      <c r="F10" s="162"/>
      <c r="G10" s="16"/>
      <c r="H10" s="16"/>
      <c r="I10" s="67"/>
      <c r="J10" s="14"/>
    </row>
    <row r="11" spans="1:11" ht="3.95" customHeight="1" x14ac:dyDescent="0.25">
      <c r="A11" s="12"/>
      <c r="B11" s="16"/>
      <c r="C11" s="130"/>
      <c r="D11" s="131"/>
      <c r="E11" s="131"/>
      <c r="F11" s="132"/>
      <c r="G11" s="16"/>
      <c r="H11" s="16"/>
      <c r="I11" s="67"/>
      <c r="J11" s="14"/>
    </row>
    <row r="12" spans="1:11" ht="24.95" customHeight="1" x14ac:dyDescent="0.25">
      <c r="A12" s="12"/>
      <c r="B12" s="16" t="s">
        <v>7</v>
      </c>
      <c r="C12" s="16"/>
      <c r="D12" s="16"/>
      <c r="E12" s="16"/>
      <c r="F12" s="16"/>
      <c r="G12" s="16"/>
      <c r="H12" s="16"/>
      <c r="I12" s="67"/>
      <c r="J12" s="14"/>
    </row>
    <row r="13" spans="1:11" ht="3.95" customHeight="1" x14ac:dyDescent="0.25">
      <c r="A13" s="12"/>
      <c r="B13" s="16"/>
      <c r="C13" s="16"/>
      <c r="D13" s="16"/>
      <c r="E13" s="16"/>
      <c r="F13" s="16"/>
      <c r="G13" s="16"/>
      <c r="H13" s="16"/>
      <c r="I13" s="67"/>
      <c r="J13" s="14"/>
    </row>
    <row r="14" spans="1:11" ht="24.95" customHeight="1" x14ac:dyDescent="0.25">
      <c r="A14" s="12"/>
      <c r="B14" s="16" t="s">
        <v>108</v>
      </c>
      <c r="C14" s="16"/>
      <c r="D14" s="16"/>
      <c r="E14" s="16"/>
      <c r="F14" s="16"/>
      <c r="G14" s="16"/>
      <c r="H14" s="16"/>
      <c r="I14" s="67"/>
      <c r="J14" s="14"/>
    </row>
    <row r="15" spans="1:11" ht="3.95" customHeight="1" x14ac:dyDescent="0.25">
      <c r="A15" s="12"/>
      <c r="B15" s="16"/>
      <c r="C15" s="16"/>
      <c r="D15" s="16"/>
      <c r="E15" s="16"/>
      <c r="F15" s="16"/>
      <c r="G15" s="16"/>
      <c r="H15" s="16"/>
      <c r="I15" s="67"/>
      <c r="J15" s="14"/>
    </row>
    <row r="16" spans="1:11" ht="24.95" customHeight="1" x14ac:dyDescent="0.25">
      <c r="A16" s="12"/>
      <c r="B16" s="16" t="s">
        <v>82</v>
      </c>
      <c r="C16" s="16"/>
      <c r="D16" s="16"/>
      <c r="E16" s="16"/>
      <c r="F16" s="16"/>
      <c r="G16" s="16"/>
      <c r="H16" s="16"/>
      <c r="I16" s="67"/>
      <c r="J16" s="14"/>
    </row>
    <row r="17" spans="1:10" ht="3.95" customHeight="1" x14ac:dyDescent="0.25">
      <c r="A17" s="12"/>
      <c r="B17" s="16"/>
      <c r="C17" s="16"/>
      <c r="D17" s="16"/>
      <c r="E17" s="16"/>
      <c r="F17" s="16"/>
      <c r="G17" s="16"/>
      <c r="H17" s="16"/>
      <c r="I17" s="67"/>
      <c r="J17" s="14"/>
    </row>
    <row r="18" spans="1:10" ht="24.95" customHeight="1" x14ac:dyDescent="0.25">
      <c r="A18" s="12"/>
      <c r="B18" s="16" t="s">
        <v>19</v>
      </c>
      <c r="C18" s="16"/>
      <c r="D18" s="16"/>
      <c r="E18" s="16"/>
      <c r="F18" s="16"/>
      <c r="G18" s="16"/>
      <c r="H18" s="12"/>
      <c r="I18" s="69"/>
      <c r="J18" s="14"/>
    </row>
    <row r="19" spans="1:10" ht="3.95" customHeight="1" x14ac:dyDescent="0.25">
      <c r="A19" s="12"/>
      <c r="B19" s="16"/>
      <c r="C19" s="16"/>
      <c r="D19" s="16"/>
      <c r="E19" s="16"/>
      <c r="F19" s="16"/>
      <c r="G19" s="16"/>
      <c r="H19" s="12"/>
      <c r="I19" s="69"/>
      <c r="J19" s="14"/>
    </row>
    <row r="20" spans="1:10" ht="24.95" customHeight="1" x14ac:dyDescent="0.25">
      <c r="A20" s="19" t="s">
        <v>30</v>
      </c>
      <c r="B20" s="16" t="s">
        <v>70</v>
      </c>
      <c r="C20" s="16"/>
      <c r="D20" s="16"/>
      <c r="E20" s="16"/>
      <c r="F20" s="16"/>
      <c r="G20" s="12"/>
      <c r="H20" s="16"/>
      <c r="I20" s="18"/>
      <c r="J20" s="14"/>
    </row>
    <row r="21" spans="1:10" ht="24.95" customHeight="1" x14ac:dyDescent="0.25">
      <c r="B21" s="16"/>
      <c r="C21" s="151" t="str">
        <f>IF(Лист1!B104&lt;&gt;"коррозионностойкое К3 (по ГОСТ 13846-89)/«Астр» (по РТМ 311.001-90)","Отвод охладитель","")</f>
        <v>Отвод охладитель</v>
      </c>
      <c r="D21" s="152"/>
      <c r="E21" s="152"/>
      <c r="F21" s="153"/>
      <c r="G21" s="16"/>
      <c r="H21" s="16"/>
      <c r="I21" s="18"/>
      <c r="J21" s="14"/>
    </row>
    <row r="22" spans="1:10" ht="24.95" customHeight="1" x14ac:dyDescent="0.25">
      <c r="A22" s="12"/>
      <c r="B22" s="16"/>
      <c r="C22" s="151" t="str">
        <f>IF(AND(Лист1!A5&lt;10,OR(Лист1!A45&lt;3,Лист1!A146)),"Блок клапанный БКН2 (тройник)","")</f>
        <v>Блок клапанный БКН2 (тройник)</v>
      </c>
      <c r="D22" s="152"/>
      <c r="E22" s="152"/>
      <c r="F22" s="153"/>
      <c r="G22" s="32" t="s">
        <v>27</v>
      </c>
      <c r="H22" s="16"/>
      <c r="I22" s="18"/>
      <c r="J22" s="14"/>
    </row>
    <row r="23" spans="1:10" ht="24.95" customHeight="1" x14ac:dyDescent="0.25">
      <c r="A23" s="12"/>
      <c r="B23" s="16"/>
      <c r="C23" s="151" t="str">
        <f>IF(OR(Лист1!A45&lt;3,Лист1!A146),"Клапан игольчатый (блок вентильный)","")</f>
        <v>Клапан игольчатый (блок вентильный)</v>
      </c>
      <c r="D23" s="152"/>
      <c r="E23" s="152"/>
      <c r="F23" s="153"/>
      <c r="G23" s="32"/>
      <c r="H23" s="16"/>
      <c r="I23" s="18"/>
      <c r="J23" s="14"/>
    </row>
    <row r="24" spans="1:10" ht="24.95" customHeight="1" x14ac:dyDescent="0.25">
      <c r="A24" s="12"/>
      <c r="B24" s="16"/>
      <c r="C24" s="66" t="str">
        <f>IF(Лист1!D163&lt;&gt;"","Переходник наруж. G1/2 – внутр. М20х1,5","")</f>
        <v>Переходник наруж. G1/2 – внутр. М20х1,5</v>
      </c>
      <c r="D24" s="66"/>
      <c r="E24" s="66"/>
      <c r="F24" s="66"/>
      <c r="G24" s="32"/>
      <c r="H24" s="16"/>
      <c r="I24" s="18"/>
      <c r="J24" s="14"/>
    </row>
    <row r="25" spans="1:10" ht="3.95" customHeight="1" thickBot="1" x14ac:dyDescent="0.3">
      <c r="A25" s="12"/>
      <c r="B25" s="16"/>
      <c r="C25" s="20"/>
      <c r="D25" s="20"/>
      <c r="E25" s="20"/>
      <c r="F25" s="20"/>
      <c r="G25" s="32"/>
      <c r="H25" s="16"/>
      <c r="I25" s="18"/>
      <c r="J25" s="14"/>
    </row>
    <row r="26" spans="1:10" ht="57.75" customHeight="1" x14ac:dyDescent="0.25">
      <c r="A26" s="12"/>
      <c r="B26" s="20" t="s">
        <v>12</v>
      </c>
      <c r="C26" s="70"/>
      <c r="D26" s="70"/>
      <c r="E26" s="70"/>
      <c r="F26" s="163"/>
      <c r="G26" s="164"/>
      <c r="H26" s="164"/>
      <c r="I26" s="165"/>
      <c r="J26" s="14"/>
    </row>
    <row r="27" spans="1:10" ht="3.95" customHeight="1" thickBot="1" x14ac:dyDescent="0.3">
      <c r="A27" s="12"/>
      <c r="B27" s="16"/>
      <c r="C27" s="70"/>
      <c r="D27" s="70"/>
      <c r="E27" s="70"/>
      <c r="F27" s="70"/>
      <c r="G27" s="70"/>
      <c r="H27" s="70"/>
      <c r="I27" s="70"/>
      <c r="J27" s="14"/>
    </row>
    <row r="28" spans="1:10" ht="24.95" customHeight="1" x14ac:dyDescent="0.25">
      <c r="A28" s="12"/>
      <c r="B28" s="16" t="s">
        <v>32</v>
      </c>
      <c r="C28" s="70"/>
      <c r="D28" s="147"/>
      <c r="E28" s="148"/>
      <c r="F28" s="149"/>
      <c r="G28" s="67" t="s">
        <v>27</v>
      </c>
      <c r="H28" s="70"/>
      <c r="I28" s="70"/>
      <c r="J28" s="14"/>
    </row>
    <row r="29" spans="1:10" ht="3.95" customHeight="1" x14ac:dyDescent="0.2">
      <c r="A29" s="12"/>
      <c r="B29" s="12"/>
      <c r="C29" s="69"/>
      <c r="D29" s="69"/>
      <c r="E29" s="69"/>
      <c r="F29" s="69"/>
      <c r="G29" s="68"/>
      <c r="H29" s="69"/>
      <c r="I29" s="69"/>
      <c r="J29" s="14"/>
    </row>
    <row r="30" spans="1:10" ht="16.5" thickBot="1" x14ac:dyDescent="0.3">
      <c r="A30" s="12"/>
      <c r="B30" s="16" t="s">
        <v>0</v>
      </c>
      <c r="C30" s="70"/>
      <c r="D30" s="70"/>
      <c r="E30" s="70"/>
      <c r="F30" s="70"/>
      <c r="G30" s="68"/>
      <c r="H30" s="69"/>
      <c r="I30" s="69"/>
      <c r="J30" s="14"/>
    </row>
    <row r="31" spans="1:10" ht="24.95" customHeight="1" x14ac:dyDescent="0.25">
      <c r="A31" s="12"/>
      <c r="B31" s="16"/>
      <c r="C31" s="70" t="s">
        <v>1</v>
      </c>
      <c r="D31" s="70"/>
      <c r="E31" s="70"/>
      <c r="F31" s="147"/>
      <c r="G31" s="148"/>
      <c r="H31" s="148"/>
      <c r="I31" s="149"/>
      <c r="J31" s="14"/>
    </row>
    <row r="32" spans="1:10" ht="3.95" customHeight="1" thickBot="1" x14ac:dyDescent="0.3">
      <c r="A32" s="12"/>
      <c r="B32" s="16"/>
      <c r="C32" s="70"/>
      <c r="D32" s="70"/>
      <c r="E32" s="70"/>
      <c r="F32" s="70"/>
      <c r="G32" s="71"/>
      <c r="H32" s="72"/>
      <c r="I32" s="69"/>
      <c r="J32" s="14"/>
    </row>
    <row r="33" spans="1:10" ht="24.95" customHeight="1" x14ac:dyDescent="0.25">
      <c r="A33" s="12"/>
      <c r="B33" s="16"/>
      <c r="C33" s="70" t="s">
        <v>2</v>
      </c>
      <c r="D33" s="147"/>
      <c r="E33" s="148"/>
      <c r="F33" s="148"/>
      <c r="G33" s="148"/>
      <c r="H33" s="148"/>
      <c r="I33" s="149"/>
      <c r="J33" s="14"/>
    </row>
    <row r="34" spans="1:10" ht="3.95" customHeight="1" thickBot="1" x14ac:dyDescent="0.3">
      <c r="A34" s="12"/>
      <c r="B34" s="16"/>
      <c r="C34" s="70"/>
      <c r="D34" s="70"/>
      <c r="E34" s="70"/>
      <c r="F34" s="70"/>
      <c r="G34" s="71"/>
      <c r="H34" s="72"/>
      <c r="I34" s="69"/>
      <c r="J34" s="14"/>
    </row>
    <row r="35" spans="1:10" ht="24.95" customHeight="1" x14ac:dyDescent="0.25">
      <c r="A35" s="12"/>
      <c r="B35" s="16"/>
      <c r="C35" s="70" t="s">
        <v>3</v>
      </c>
      <c r="D35" s="70"/>
      <c r="E35" s="147"/>
      <c r="F35" s="148"/>
      <c r="G35" s="148"/>
      <c r="H35" s="148"/>
      <c r="I35" s="149"/>
      <c r="J35" s="14"/>
    </row>
    <row r="36" spans="1:10" ht="3.95" customHeight="1" thickBot="1" x14ac:dyDescent="0.3">
      <c r="A36" s="12"/>
      <c r="B36" s="16"/>
      <c r="C36" s="70"/>
      <c r="D36" s="70"/>
      <c r="E36" s="70"/>
      <c r="F36" s="70"/>
      <c r="G36" s="71"/>
      <c r="H36" s="72"/>
      <c r="I36" s="69"/>
      <c r="J36" s="14"/>
    </row>
    <row r="37" spans="1:10" ht="24.95" customHeight="1" x14ac:dyDescent="0.25">
      <c r="A37" s="12"/>
      <c r="B37" s="16"/>
      <c r="C37" s="70" t="s">
        <v>4</v>
      </c>
      <c r="D37" s="70"/>
      <c r="E37" s="147"/>
      <c r="F37" s="148"/>
      <c r="G37" s="148"/>
      <c r="H37" s="148"/>
      <c r="I37" s="149"/>
      <c r="J37" s="14"/>
    </row>
    <row r="38" spans="1:10" ht="9.9499999999999993" customHeight="1" x14ac:dyDescent="0.2">
      <c r="A38" s="22"/>
      <c r="B38" s="22"/>
      <c r="C38" s="73"/>
      <c r="D38" s="73"/>
      <c r="E38" s="73"/>
      <c r="F38" s="73"/>
      <c r="G38" s="73"/>
      <c r="H38" s="73"/>
      <c r="I38" s="69"/>
      <c r="J38" s="14"/>
    </row>
    <row r="39" spans="1:10" s="2" customFormat="1" ht="7.5" customHeight="1" x14ac:dyDescent="0.2">
      <c r="A39" s="24"/>
      <c r="B39" s="24"/>
      <c r="C39" s="24"/>
      <c r="D39" s="24"/>
      <c r="E39" s="24"/>
      <c r="F39" s="24"/>
      <c r="G39" s="24"/>
      <c r="H39" s="24"/>
      <c r="I39" s="21"/>
      <c r="J39" s="14"/>
    </row>
    <row r="40" spans="1:10" ht="15.75" x14ac:dyDescent="0.25">
      <c r="A40" s="24"/>
      <c r="B40" s="25" t="s">
        <v>15</v>
      </c>
      <c r="C40" s="25"/>
      <c r="D40" s="25"/>
      <c r="E40" s="25"/>
      <c r="F40" s="25"/>
      <c r="G40" s="24"/>
      <c r="H40" s="24"/>
      <c r="I40" s="21"/>
      <c r="J40" s="14"/>
    </row>
    <row r="41" spans="1:10" ht="15.75" x14ac:dyDescent="0.25">
      <c r="A41" s="24"/>
      <c r="B41" s="25"/>
      <c r="C41" s="138" t="str">
        <f ca="1">Лист1!A172</f>
        <v>Манометр "Автон" (16МПа, 0.25%, К2, M20х1.5, LoRa)</v>
      </c>
      <c r="D41" s="139"/>
      <c r="E41" s="139"/>
      <c r="F41" s="139"/>
      <c r="G41" s="140"/>
      <c r="H41" s="24"/>
      <c r="I41" s="21"/>
      <c r="J41" s="14"/>
    </row>
    <row r="42" spans="1:10" ht="15.75" x14ac:dyDescent="0.25">
      <c r="A42" s="24"/>
      <c r="B42" s="25" t="s">
        <v>69</v>
      </c>
      <c r="C42" s="29"/>
      <c r="D42" s="29"/>
      <c r="E42" s="29"/>
      <c r="F42" s="29"/>
      <c r="G42" s="29"/>
      <c r="H42" s="24"/>
      <c r="I42" s="21"/>
      <c r="J42" s="14"/>
    </row>
    <row r="43" spans="1:10" ht="33" customHeight="1" x14ac:dyDescent="0.25">
      <c r="A43" s="24"/>
      <c r="B43" s="26"/>
      <c r="C43" s="141" t="str">
        <f>Лист1!A176</f>
        <v/>
      </c>
      <c r="D43" s="142"/>
      <c r="E43" s="142"/>
      <c r="F43" s="142"/>
      <c r="G43" s="143"/>
      <c r="H43" s="28"/>
      <c r="I43" s="21"/>
      <c r="J43" s="14"/>
    </row>
    <row r="44" spans="1:10" ht="48" customHeight="1" x14ac:dyDescent="0.25">
      <c r="A44" s="24"/>
      <c r="B44" s="26"/>
      <c r="C44" s="141" t="str">
        <f>Лист1!A177</f>
        <v/>
      </c>
      <c r="D44" s="142"/>
      <c r="E44" s="142"/>
      <c r="F44" s="142"/>
      <c r="G44" s="143"/>
      <c r="H44" s="28"/>
      <c r="I44" s="21"/>
      <c r="J44" s="14"/>
    </row>
    <row r="45" spans="1:10" ht="15.75" customHeight="1" x14ac:dyDescent="0.25">
      <c r="A45" s="24"/>
      <c r="B45" s="26"/>
      <c r="C45" s="141" t="str">
        <f>Лист1!A178</f>
        <v/>
      </c>
      <c r="D45" s="142"/>
      <c r="E45" s="142"/>
      <c r="F45" s="142"/>
      <c r="G45" s="143"/>
      <c r="H45" s="28"/>
      <c r="I45" s="21"/>
      <c r="J45" s="14"/>
    </row>
    <row r="46" spans="1:10" ht="15.75" customHeight="1" x14ac:dyDescent="0.25">
      <c r="A46" s="24"/>
      <c r="B46" s="26"/>
      <c r="C46" s="141" t="str">
        <f>Лист1!A179</f>
        <v/>
      </c>
      <c r="D46" s="142"/>
      <c r="E46" s="142"/>
      <c r="F46" s="142"/>
      <c r="G46" s="143"/>
      <c r="H46" s="28"/>
      <c r="I46" s="21"/>
      <c r="J46" s="14"/>
    </row>
    <row r="47" spans="1:10" ht="15.75" x14ac:dyDescent="0.25">
      <c r="A47" s="24"/>
      <c r="B47" s="25" t="s">
        <v>12</v>
      </c>
      <c r="C47" s="30"/>
      <c r="D47" s="30"/>
      <c r="E47" s="30"/>
      <c r="F47" s="30"/>
      <c r="G47" s="30"/>
      <c r="H47" s="24"/>
      <c r="I47" s="21"/>
      <c r="J47" s="14"/>
    </row>
    <row r="48" spans="1:10" ht="66" customHeight="1" x14ac:dyDescent="0.2">
      <c r="A48" s="24"/>
      <c r="B48" s="27"/>
      <c r="C48" s="144" t="str">
        <f>IF(F26="","",F26)</f>
        <v/>
      </c>
      <c r="D48" s="145"/>
      <c r="E48" s="145"/>
      <c r="F48" s="145"/>
      <c r="G48" s="146"/>
      <c r="H48" s="28"/>
      <c r="I48" s="21"/>
      <c r="J48" s="14"/>
    </row>
    <row r="49" spans="1:10" ht="6.75" customHeight="1" x14ac:dyDescent="0.2">
      <c r="A49" s="24"/>
      <c r="B49" s="24"/>
      <c r="C49" s="31"/>
      <c r="D49" s="31"/>
      <c r="E49" s="31"/>
      <c r="F49" s="31"/>
      <c r="G49" s="31"/>
      <c r="H49" s="24"/>
      <c r="I49" s="21"/>
      <c r="J49" s="14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12"/>
      <c r="J50" s="129"/>
    </row>
  </sheetData>
  <sheetProtection password="C7C8" sheet="1" objects="1" scenarios="1"/>
  <mergeCells count="18">
    <mergeCell ref="F31:I31"/>
    <mergeCell ref="D33:I33"/>
    <mergeCell ref="E35:I35"/>
    <mergeCell ref="E37:I37"/>
    <mergeCell ref="A1:H1"/>
    <mergeCell ref="C21:F21"/>
    <mergeCell ref="C22:F22"/>
    <mergeCell ref="C23:F23"/>
    <mergeCell ref="C4:F6"/>
    <mergeCell ref="C8:F10"/>
    <mergeCell ref="F26:I26"/>
    <mergeCell ref="D28:F28"/>
    <mergeCell ref="C41:G41"/>
    <mergeCell ref="C46:G46"/>
    <mergeCell ref="C48:G48"/>
    <mergeCell ref="C43:G43"/>
    <mergeCell ref="C44:G44"/>
    <mergeCell ref="C45:G45"/>
  </mergeCells>
  <hyperlinks>
    <hyperlink ref="A20" location="Дополнительная_комплектация" display="?"/>
  </hyperlinks>
  <pageMargins left="0.35433070866141736" right="0.15748031496062992" top="0.51181102362204722" bottom="0.43307086614173229" header="0.31496062992125984" footer="0.31496062992125984"/>
  <pageSetup paperSize="9" scale="75" orientation="portrait" r:id="rId1"/>
  <rowBreaks count="1" manualBreakCount="1">
    <brk id="38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6</xdr:col>
                    <xdr:colOff>76200</xdr:colOff>
                    <xdr:row>4</xdr:row>
                    <xdr:rowOff>38100</xdr:rowOff>
                  </from>
                  <to>
                    <xdr:col>7</xdr:col>
                    <xdr:colOff>19050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76200</xdr:colOff>
                    <xdr:row>8</xdr:row>
                    <xdr:rowOff>38100</xdr:rowOff>
                  </from>
                  <to>
                    <xdr:col>7</xdr:col>
                    <xdr:colOff>19050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Drop Down 9">
              <controlPr defaultSize="0" autoLine="0" autoPict="0">
                <anchor moveWithCells="1">
                  <from>
                    <xdr:col>6</xdr:col>
                    <xdr:colOff>76200</xdr:colOff>
                    <xdr:row>11</xdr:row>
                    <xdr:rowOff>47625</xdr:rowOff>
                  </from>
                  <to>
                    <xdr:col>7</xdr:col>
                    <xdr:colOff>19050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Drop Down 11">
              <controlPr defaultSize="0" autoLine="0" autoPict="0">
                <anchor moveWithCells="1">
                  <from>
                    <xdr:col>6</xdr:col>
                    <xdr:colOff>76200</xdr:colOff>
                    <xdr:row>13</xdr:row>
                    <xdr:rowOff>28575</xdr:rowOff>
                  </from>
                  <to>
                    <xdr:col>7</xdr:col>
                    <xdr:colOff>19050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Drop Down 15">
              <controlPr defaultSize="0" autoLine="0" autoPict="0">
                <anchor moveWithCells="1">
                  <from>
                    <xdr:col>6</xdr:col>
                    <xdr:colOff>76200</xdr:colOff>
                    <xdr:row>17</xdr:row>
                    <xdr:rowOff>47625</xdr:rowOff>
                  </from>
                  <to>
                    <xdr:col>7</xdr:col>
                    <xdr:colOff>19050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9" name="Drop Down 140">
              <controlPr defaultSize="0" autoLine="0" autoPict="0">
                <anchor moveWithCells="1">
                  <from>
                    <xdr:col>6</xdr:col>
                    <xdr:colOff>76200</xdr:colOff>
                    <xdr:row>15</xdr:row>
                    <xdr:rowOff>28575</xdr:rowOff>
                  </from>
                  <to>
                    <xdr:col>7</xdr:col>
                    <xdr:colOff>19050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0" name="Check Box 142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57150</xdr:rowOff>
                  </from>
                  <to>
                    <xdr:col>5</xdr:col>
                    <xdr:colOff>809625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1" name="Check Box 143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47625</xdr:rowOff>
                  </from>
                  <to>
                    <xdr:col>5</xdr:col>
                    <xdr:colOff>809625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2" name="Check Box 144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28575</xdr:rowOff>
                  </from>
                  <to>
                    <xdr:col>5</xdr:col>
                    <xdr:colOff>809625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3" name="Check Box 147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38100</xdr:rowOff>
                  </from>
                  <to>
                    <xdr:col>5</xdr:col>
                    <xdr:colOff>809625</xdr:colOff>
                    <xdr:row>23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06"/>
  <sheetViews>
    <sheetView topLeftCell="A103" zoomScaleNormal="100" workbookViewId="0">
      <selection activeCell="E107" sqref="E107"/>
    </sheetView>
  </sheetViews>
  <sheetFormatPr defaultRowHeight="15.75" x14ac:dyDescent="0.25"/>
  <cols>
    <col min="1" max="1" width="10.5703125" style="1" customWidth="1"/>
    <col min="2" max="2" width="32.7109375" style="1" customWidth="1"/>
    <col min="3" max="3" width="49.42578125" style="1" customWidth="1"/>
    <col min="4" max="4" width="36.5703125" style="1" customWidth="1"/>
    <col min="5" max="5" width="44" style="1" customWidth="1"/>
    <col min="6" max="6" width="35.42578125" style="1" customWidth="1"/>
    <col min="7" max="7" width="29.28515625" style="1" customWidth="1"/>
    <col min="8" max="8" width="35.140625" style="1" customWidth="1"/>
    <col min="9" max="9" width="21.140625" style="1" customWidth="1"/>
    <col min="10" max="10" width="32" style="1" customWidth="1"/>
    <col min="11" max="11" width="47" style="1" customWidth="1"/>
    <col min="12" max="12" width="34.5703125" style="1" customWidth="1"/>
    <col min="13" max="16384" width="9.140625" style="1"/>
  </cols>
  <sheetData>
    <row r="1" spans="1:6" x14ac:dyDescent="0.25">
      <c r="A1" s="167" t="s">
        <v>22</v>
      </c>
      <c r="B1" s="167"/>
      <c r="C1" s="3" t="s">
        <v>26</v>
      </c>
      <c r="D1" s="4" t="s">
        <v>25</v>
      </c>
    </row>
    <row r="2" spans="1:6" x14ac:dyDescent="0.25">
      <c r="A2" s="3" t="s">
        <v>23</v>
      </c>
      <c r="B2" s="5" t="s">
        <v>24</v>
      </c>
      <c r="C2" s="3"/>
    </row>
    <row r="3" spans="1:6" x14ac:dyDescent="0.25">
      <c r="A3" s="3"/>
      <c r="B3" s="5"/>
      <c r="C3" s="3"/>
    </row>
    <row r="4" spans="1:6" x14ac:dyDescent="0.25">
      <c r="A4" s="48" t="s">
        <v>83</v>
      </c>
      <c r="B4" s="5"/>
      <c r="C4" s="3"/>
    </row>
    <row r="5" spans="1:6" x14ac:dyDescent="0.25">
      <c r="A5" s="43">
        <v>7</v>
      </c>
      <c r="B5" s="44">
        <f>INDEX(D6:D16,A5,1)</f>
        <v>16</v>
      </c>
      <c r="C5" s="7" t="str">
        <f>VLOOKUP(B5,Таблица1[#All],2,)</f>
        <v>16МПа</v>
      </c>
      <c r="D5" s="1" t="s">
        <v>33</v>
      </c>
      <c r="E5" s="1" t="s">
        <v>34</v>
      </c>
      <c r="F5" s="1" t="s">
        <v>27</v>
      </c>
    </row>
    <row r="6" spans="1:6" x14ac:dyDescent="0.25">
      <c r="B6" s="36"/>
      <c r="D6" s="8">
        <v>0.6</v>
      </c>
      <c r="E6" s="1" t="s">
        <v>35</v>
      </c>
    </row>
    <row r="7" spans="1:6" x14ac:dyDescent="0.25">
      <c r="B7" s="36"/>
      <c r="D7" s="8">
        <v>1</v>
      </c>
      <c r="E7" s="1" t="s">
        <v>36</v>
      </c>
    </row>
    <row r="8" spans="1:6" x14ac:dyDescent="0.25">
      <c r="B8" s="36"/>
      <c r="D8" s="8">
        <v>1.6</v>
      </c>
      <c r="E8" s="1" t="s">
        <v>37</v>
      </c>
    </row>
    <row r="9" spans="1:6" x14ac:dyDescent="0.25">
      <c r="B9" s="36"/>
      <c r="D9" s="8">
        <v>2.5</v>
      </c>
      <c r="E9" s="1" t="s">
        <v>38</v>
      </c>
    </row>
    <row r="10" spans="1:6" x14ac:dyDescent="0.25">
      <c r="B10" s="36"/>
      <c r="D10" s="8">
        <v>6</v>
      </c>
      <c r="E10" s="1" t="s">
        <v>39</v>
      </c>
    </row>
    <row r="11" spans="1:6" x14ac:dyDescent="0.25">
      <c r="B11" s="36"/>
      <c r="D11" s="8">
        <v>10</v>
      </c>
      <c r="E11" s="1" t="s">
        <v>40</v>
      </c>
    </row>
    <row r="12" spans="1:6" x14ac:dyDescent="0.25">
      <c r="B12" s="36"/>
      <c r="D12" s="8">
        <v>16</v>
      </c>
      <c r="E12" s="1" t="s">
        <v>41</v>
      </c>
    </row>
    <row r="13" spans="1:6" x14ac:dyDescent="0.25">
      <c r="B13" s="36"/>
      <c r="D13" s="8">
        <v>25</v>
      </c>
      <c r="E13" s="1" t="s">
        <v>42</v>
      </c>
    </row>
    <row r="14" spans="1:6" x14ac:dyDescent="0.25">
      <c r="B14" s="36"/>
      <c r="D14" s="8">
        <v>40</v>
      </c>
      <c r="E14" s="1" t="s">
        <v>43</v>
      </c>
    </row>
    <row r="15" spans="1:6" x14ac:dyDescent="0.25">
      <c r="B15" s="36"/>
      <c r="D15" s="8">
        <v>60</v>
      </c>
      <c r="E15" s="1" t="s">
        <v>44</v>
      </c>
    </row>
    <row r="16" spans="1:6" x14ac:dyDescent="0.25">
      <c r="B16" s="36"/>
      <c r="D16" s="1" t="s">
        <v>13</v>
      </c>
      <c r="E16" s="1" t="str">
        <f>'Опросный лист термоманометр'!I5&amp;"МПа"</f>
        <v>МПа</v>
      </c>
    </row>
    <row r="17" spans="1:10" x14ac:dyDescent="0.25">
      <c r="B17" s="36"/>
    </row>
    <row r="18" spans="1:10" x14ac:dyDescent="0.25">
      <c r="A18" s="48" t="s">
        <v>84</v>
      </c>
      <c r="B18" s="36"/>
    </row>
    <row r="19" spans="1:10" x14ac:dyDescent="0.25">
      <c r="A19" s="7">
        <v>2</v>
      </c>
      <c r="B19" s="41">
        <f>INDEX(D20:D25,A19,1)</f>
        <v>0.25</v>
      </c>
      <c r="C19" s="7" t="str">
        <f>VLOOKUP(B19,Таблица2[#All],2,)</f>
        <v>, 0.25%</v>
      </c>
      <c r="D19" s="1" t="s">
        <v>33</v>
      </c>
      <c r="E19" s="1" t="s">
        <v>34</v>
      </c>
    </row>
    <row r="20" spans="1:10" x14ac:dyDescent="0.25">
      <c r="B20" s="37"/>
      <c r="D20" s="38">
        <v>0.15</v>
      </c>
      <c r="E20" s="39" t="s">
        <v>45</v>
      </c>
    </row>
    <row r="21" spans="1:10" x14ac:dyDescent="0.25">
      <c r="B21" s="37"/>
      <c r="D21" s="38">
        <v>0.25</v>
      </c>
      <c r="E21" s="39" t="s">
        <v>46</v>
      </c>
    </row>
    <row r="22" spans="1:10" x14ac:dyDescent="0.25">
      <c r="B22" s="37"/>
      <c r="D22" s="38">
        <v>0.5</v>
      </c>
      <c r="E22" s="39" t="s">
        <v>47</v>
      </c>
    </row>
    <row r="23" spans="1:10" x14ac:dyDescent="0.25">
      <c r="B23" s="37"/>
      <c r="D23" s="38">
        <v>1</v>
      </c>
      <c r="E23" s="39" t="s">
        <v>48</v>
      </c>
    </row>
    <row r="24" spans="1:10" x14ac:dyDescent="0.25">
      <c r="B24" s="37"/>
      <c r="D24" s="38">
        <v>1.5</v>
      </c>
      <c r="E24" s="39" t="s">
        <v>49</v>
      </c>
    </row>
    <row r="25" spans="1:10" x14ac:dyDescent="0.25">
      <c r="B25" s="36"/>
      <c r="D25" s="8" t="s">
        <v>13</v>
      </c>
      <c r="E25" s="1" t="str">
        <f>", "&amp;'Опросный лист термоманометр'!I9&amp;"%"</f>
        <v>, %</v>
      </c>
    </row>
    <row r="26" spans="1:10" x14ac:dyDescent="0.25">
      <c r="B26" s="36"/>
      <c r="D26" s="8"/>
    </row>
    <row r="27" spans="1:10" s="57" customFormat="1" x14ac:dyDescent="0.25">
      <c r="A27" s="75" t="s">
        <v>58</v>
      </c>
      <c r="B27" s="56"/>
      <c r="D27" s="78"/>
    </row>
    <row r="28" spans="1:10" s="57" customFormat="1" x14ac:dyDescent="0.25">
      <c r="A28" s="79">
        <v>2</v>
      </c>
      <c r="B28" s="80" t="str">
        <f>INDEX(D29:D30,A28,1)</f>
        <v>отсутствует</v>
      </c>
      <c r="C28" s="58" t="str">
        <f>B28</f>
        <v>отсутствует</v>
      </c>
      <c r="D28" s="57" t="s">
        <v>33</v>
      </c>
    </row>
    <row r="29" spans="1:10" s="57" customFormat="1" x14ac:dyDescent="0.25">
      <c r="B29" s="81"/>
      <c r="D29" s="82" t="s">
        <v>60</v>
      </c>
      <c r="E29" s="83"/>
      <c r="F29" s="76"/>
      <c r="G29" s="76"/>
      <c r="H29" s="76"/>
      <c r="I29" s="76"/>
      <c r="J29" s="76"/>
    </row>
    <row r="30" spans="1:10" s="57" customFormat="1" x14ac:dyDescent="0.25">
      <c r="B30" s="81"/>
      <c r="D30" s="82" t="s">
        <v>59</v>
      </c>
      <c r="E30" s="83"/>
      <c r="F30" s="76"/>
      <c r="G30" s="76"/>
      <c r="H30" s="76"/>
      <c r="I30" s="76"/>
      <c r="J30" s="76"/>
    </row>
    <row r="31" spans="1:10" s="57" customFormat="1" x14ac:dyDescent="0.25">
      <c r="B31" s="81"/>
      <c r="D31" s="82"/>
      <c r="E31" s="83"/>
      <c r="F31" s="76"/>
      <c r="G31" s="76"/>
      <c r="H31" s="76"/>
      <c r="I31" s="76"/>
      <c r="J31" s="76"/>
    </row>
    <row r="32" spans="1:10" s="57" customFormat="1" x14ac:dyDescent="0.25">
      <c r="A32" s="75" t="s">
        <v>71</v>
      </c>
      <c r="B32" s="81"/>
      <c r="D32" s="82"/>
      <c r="E32" s="83"/>
      <c r="F32" s="76"/>
      <c r="G32" s="76"/>
      <c r="H32" s="76"/>
      <c r="I32" s="76"/>
      <c r="J32" s="76"/>
    </row>
    <row r="33" spans="1:12" s="57" customFormat="1" x14ac:dyDescent="0.25">
      <c r="A33" s="58">
        <v>1</v>
      </c>
      <c r="B33" s="84" t="str">
        <f ca="1">INDEX(Таблица7[Столбец1],A33,1)</f>
        <v/>
      </c>
      <c r="C33" s="85" t="str">
        <f ca="1">VLOOKUP(B33,Таблица7[],2,)</f>
        <v/>
      </c>
      <c r="D33" s="57" t="s">
        <v>33</v>
      </c>
      <c r="E33" s="57" t="s">
        <v>34</v>
      </c>
      <c r="F33" s="76" t="s">
        <v>60</v>
      </c>
      <c r="G33" s="76" t="s">
        <v>59</v>
      </c>
      <c r="I33" s="76" t="s">
        <v>60</v>
      </c>
      <c r="J33" s="76" t="s">
        <v>59</v>
      </c>
    </row>
    <row r="34" spans="1:12" s="57" customFormat="1" ht="16.5" customHeight="1" x14ac:dyDescent="0.25">
      <c r="A34" s="86"/>
      <c r="B34" s="87"/>
      <c r="C34" s="88"/>
      <c r="D34" s="89" t="str">
        <f ca="1">OFFSET(F34,0,A28-1)</f>
        <v/>
      </c>
      <c r="E34" s="90" t="str">
        <f ca="1">OFFSET(I34,0,$A$28-1)</f>
        <v/>
      </c>
      <c r="F34" s="91" t="s">
        <v>72</v>
      </c>
      <c r="G34" s="92" t="s">
        <v>27</v>
      </c>
      <c r="I34" s="92" t="s">
        <v>74</v>
      </c>
      <c r="J34" s="92" t="s">
        <v>27</v>
      </c>
    </row>
    <row r="35" spans="1:12" s="57" customFormat="1" ht="16.5" customHeight="1" x14ac:dyDescent="0.25">
      <c r="A35" s="86"/>
      <c r="B35" s="87"/>
      <c r="D35" s="90" t="str">
        <f ca="1">OFFSET(F35,0,A28-1)</f>
        <v/>
      </c>
      <c r="E35" s="90" t="str">
        <f ca="1">OFFSET(I35,0,$A$28-1)</f>
        <v/>
      </c>
      <c r="F35" s="93" t="s">
        <v>77</v>
      </c>
      <c r="G35" s="92" t="s">
        <v>27</v>
      </c>
      <c r="I35" s="93" t="s">
        <v>95</v>
      </c>
      <c r="J35" s="92" t="s">
        <v>27</v>
      </c>
    </row>
    <row r="36" spans="1:12" s="57" customFormat="1" ht="17.25" customHeight="1" x14ac:dyDescent="0.25">
      <c r="A36" s="86"/>
      <c r="B36" s="87"/>
      <c r="D36" s="94" t="str">
        <f ca="1">OFFSET(F36,0,A28-1)</f>
        <v/>
      </c>
      <c r="E36" s="90" t="str">
        <f ca="1">OFFSET(I36,0,$A$28-1)</f>
        <v/>
      </c>
      <c r="F36" s="93" t="s">
        <v>73</v>
      </c>
      <c r="G36" s="92" t="s">
        <v>27</v>
      </c>
      <c r="I36" s="93" t="s">
        <v>96</v>
      </c>
      <c r="J36" s="92" t="s">
        <v>27</v>
      </c>
    </row>
    <row r="37" spans="1:12" s="57" customFormat="1" ht="16.5" customHeight="1" x14ac:dyDescent="0.25">
      <c r="A37" s="86"/>
      <c r="B37" s="87"/>
      <c r="D37" s="94" t="str">
        <f ca="1">OFFSET(F37,0,A28-1)</f>
        <v/>
      </c>
      <c r="E37" s="90" t="str">
        <f ca="1">OFFSET(I37,0,$A$28-1)</f>
        <v/>
      </c>
      <c r="F37" s="93" t="s">
        <v>76</v>
      </c>
      <c r="G37" s="92" t="s">
        <v>27</v>
      </c>
      <c r="I37" s="93" t="s">
        <v>75</v>
      </c>
      <c r="J37" s="95" t="s">
        <v>27</v>
      </c>
    </row>
    <row r="38" spans="1:12" s="57" customFormat="1" x14ac:dyDescent="0.25">
      <c r="B38" s="56"/>
      <c r="D38" s="78"/>
    </row>
    <row r="39" spans="1:12" s="57" customFormat="1" x14ac:dyDescent="0.25">
      <c r="A39" s="75" t="s">
        <v>61</v>
      </c>
      <c r="B39" s="56"/>
      <c r="D39" s="78"/>
    </row>
    <row r="40" spans="1:12" s="57" customFormat="1" ht="17.25" customHeight="1" x14ac:dyDescent="0.25">
      <c r="A40" s="58">
        <v>1</v>
      </c>
      <c r="B40" s="80" t="str">
        <f ca="1">INDEX(D41:D42,A40,1)</f>
        <v/>
      </c>
      <c r="C40" s="58" t="str">
        <f ca="1">INDEX(Таблица6[],A40,2)</f>
        <v/>
      </c>
      <c r="D40" s="86" t="s">
        <v>33</v>
      </c>
      <c r="E40" s="86" t="s">
        <v>34</v>
      </c>
      <c r="F40" s="96"/>
      <c r="G40" s="97"/>
      <c r="H40" s="96"/>
      <c r="I40" s="98"/>
      <c r="J40" s="96"/>
    </row>
    <row r="41" spans="1:12" s="57" customFormat="1" x14ac:dyDescent="0.25">
      <c r="A41" s="86"/>
      <c r="B41" s="87"/>
      <c r="C41" s="58" t="str">
        <f ca="1">IF(B40="","","Способ крепления термощупа: "&amp;IF(B40="другой",'Опросный лист термоманометр'!#REF!,B40))</f>
        <v/>
      </c>
      <c r="D41" s="86" t="str">
        <f ca="1">IF(AND(A28=1,B33="для ввинчивания в термокарман"),"штуцер подвижный","")</f>
        <v/>
      </c>
      <c r="E41" s="86" t="str">
        <f ca="1">IF(AND(A28=1,B33="для ввинчивания в термокарман"),"ШП-","")</f>
        <v/>
      </c>
      <c r="F41" s="76"/>
      <c r="G41" s="99"/>
      <c r="H41" s="99"/>
      <c r="I41" s="99"/>
      <c r="J41" s="99"/>
    </row>
    <row r="42" spans="1:12" s="57" customFormat="1" x14ac:dyDescent="0.25">
      <c r="A42" s="86"/>
      <c r="B42" s="87"/>
      <c r="D42" s="86" t="str">
        <f ca="1">IF(AND(A28=1,B33="для ввинчивания в термокарман"),"другой","")</f>
        <v/>
      </c>
      <c r="E42" s="100" t="s">
        <v>27</v>
      </c>
      <c r="F42" s="76"/>
      <c r="G42" s="99"/>
      <c r="H42" s="99"/>
      <c r="I42" s="99"/>
      <c r="J42" s="99"/>
    </row>
    <row r="43" spans="1:12" s="57" customFormat="1" x14ac:dyDescent="0.25">
      <c r="B43" s="56"/>
      <c r="D43" s="78"/>
    </row>
    <row r="44" spans="1:12" s="57" customFormat="1" x14ac:dyDescent="0.25">
      <c r="A44" s="75" t="s">
        <v>85</v>
      </c>
      <c r="B44" s="56"/>
      <c r="D44" s="78"/>
    </row>
    <row r="45" spans="1:12" s="57" customFormat="1" ht="15.75" customHeight="1" x14ac:dyDescent="0.25">
      <c r="A45" s="101">
        <v>1</v>
      </c>
      <c r="B45" s="59" t="str">
        <f>INDEX(Таблица17[Столбец1],A45,1)</f>
        <v>-40..+85</v>
      </c>
      <c r="C45" s="58" t="str">
        <f>VLOOKUP(B45,Таблица17[#All],2,)</f>
        <v>, -40..+85C</v>
      </c>
      <c r="D45" s="57" t="s">
        <v>33</v>
      </c>
      <c r="E45" s="57" t="s">
        <v>34</v>
      </c>
      <c r="G45" s="86"/>
      <c r="H45" s="57" t="s">
        <v>78</v>
      </c>
      <c r="I45" s="57" t="s">
        <v>81</v>
      </c>
      <c r="J45" s="57" t="s">
        <v>80</v>
      </c>
      <c r="K45" s="57" t="s">
        <v>79</v>
      </c>
      <c r="L45" s="57" t="s">
        <v>59</v>
      </c>
    </row>
    <row r="46" spans="1:12" s="57" customFormat="1" x14ac:dyDescent="0.25">
      <c r="A46" s="86"/>
      <c r="B46" s="87"/>
      <c r="C46" s="88"/>
      <c r="D46" s="102" t="str">
        <f>HLOOKUP($F$46,Таблица24[#All],2)</f>
        <v>-40..+85</v>
      </c>
      <c r="E46" s="57" t="str">
        <f>", "&amp;Таблица17[[#This Row],[Столбец1]]&amp;"C"</f>
        <v>, -40..+85C</v>
      </c>
      <c r="F46" s="58" t="str">
        <f>G46&amp;G47&amp;G48&amp;G49&amp;G50</f>
        <v>отсутствует</v>
      </c>
      <c r="G46" s="103" t="str">
        <f>IF(AND(A28=1,A33=1),"выносной для ввинчивания в термокарман","")</f>
        <v/>
      </c>
      <c r="H46" s="57" t="s">
        <v>54</v>
      </c>
      <c r="I46" s="57" t="s">
        <v>54</v>
      </c>
      <c r="J46" s="57" t="s">
        <v>54</v>
      </c>
      <c r="K46" s="57" t="s">
        <v>54</v>
      </c>
      <c r="L46" s="57" t="s">
        <v>54</v>
      </c>
    </row>
    <row r="47" spans="1:12" s="57" customFormat="1" x14ac:dyDescent="0.25">
      <c r="D47" s="102" t="str">
        <f>HLOOKUP($F$46,Таблица24[#All],3)</f>
        <v/>
      </c>
      <c r="E47" s="57" t="str">
        <f>", "&amp;Таблица17[[#This Row],[Столбец1]]&amp;"C"</f>
        <v>, C</v>
      </c>
      <c r="G47" s="103" t="str">
        <f>IF(AND(A28=1,A33=2),"выносной накладной с лыской","")</f>
        <v/>
      </c>
      <c r="H47" s="57" t="s">
        <v>55</v>
      </c>
      <c r="I47" s="57" t="s">
        <v>55</v>
      </c>
      <c r="J47" s="57" t="s">
        <v>55</v>
      </c>
      <c r="K47" s="57" t="s">
        <v>55</v>
      </c>
      <c r="L47" s="57" t="s">
        <v>27</v>
      </c>
    </row>
    <row r="48" spans="1:12" s="57" customFormat="1" x14ac:dyDescent="0.25">
      <c r="D48" s="102" t="str">
        <f>HLOOKUP($F$46,Таблица24[#All],4)</f>
        <v/>
      </c>
      <c r="E48" s="57" t="str">
        <f>", "&amp;Таблица17[[#This Row],[Столбец1]]&amp;"C"</f>
        <v>, C</v>
      </c>
      <c r="G48" s="103" t="str">
        <f>IF(AND(A28=1,A33=3),"выносной накладной под винт","")</f>
        <v/>
      </c>
      <c r="H48" s="57" t="s">
        <v>56</v>
      </c>
      <c r="I48" s="57" t="s">
        <v>56</v>
      </c>
      <c r="J48" s="57" t="s">
        <v>56</v>
      </c>
      <c r="K48" s="57" t="s">
        <v>56</v>
      </c>
      <c r="L48" s="57" t="s">
        <v>27</v>
      </c>
    </row>
    <row r="49" spans="1:12" s="57" customFormat="1" x14ac:dyDescent="0.25">
      <c r="D49" s="102" t="str">
        <f>HLOOKUP($F$46,Таблица24[#All],5)</f>
        <v/>
      </c>
      <c r="E49" s="57" t="str">
        <f>", "&amp;Таблица17[[#This Row],[Столбец1]]&amp;"C"</f>
        <v>, C</v>
      </c>
      <c r="G49" s="103" t="str">
        <f>IF(AND(A28=1,A33=4),"выносной накладной под торцевое крепление","")</f>
        <v/>
      </c>
      <c r="H49" s="57" t="s">
        <v>57</v>
      </c>
      <c r="I49" s="57" t="s">
        <v>57</v>
      </c>
      <c r="J49" s="57" t="s">
        <v>13</v>
      </c>
      <c r="K49" s="57" t="s">
        <v>13</v>
      </c>
      <c r="L49" s="57" t="s">
        <v>27</v>
      </c>
    </row>
    <row r="50" spans="1:12" s="57" customFormat="1" x14ac:dyDescent="0.25">
      <c r="D50" s="102" t="str">
        <f>HLOOKUP($F$46,Таблица24[#All],6)</f>
        <v/>
      </c>
      <c r="E50" s="57" t="e">
        <f>", "&amp;'Опросный лист термоманометр'!#REF!&amp;"C"</f>
        <v>#REF!</v>
      </c>
      <c r="G50" s="103" t="str">
        <f>IF(A28=2,"отсутствует","")</f>
        <v>отсутствует</v>
      </c>
      <c r="H50" s="57" t="s">
        <v>13</v>
      </c>
      <c r="I50" s="57" t="s">
        <v>13</v>
      </c>
      <c r="J50" s="57" t="s">
        <v>27</v>
      </c>
      <c r="K50" s="57" t="s">
        <v>27</v>
      </c>
      <c r="L50" s="57" t="s">
        <v>27</v>
      </c>
    </row>
    <row r="51" spans="1:12" s="57" customFormat="1" x14ac:dyDescent="0.25"/>
    <row r="52" spans="1:12" s="57" customFormat="1" x14ac:dyDescent="0.25"/>
    <row r="53" spans="1:12" s="57" customFormat="1" x14ac:dyDescent="0.25">
      <c r="A53" s="75" t="s">
        <v>86</v>
      </c>
    </row>
    <row r="54" spans="1:12" s="57" customFormat="1" x14ac:dyDescent="0.25">
      <c r="A54" s="79">
        <v>3</v>
      </c>
      <c r="B54" s="59">
        <f>INDEX(Таблица4[Столбец1],A54,1)</f>
        <v>2</v>
      </c>
      <c r="C54" s="58" t="str">
        <f>VLOOKUP(B54,Таблица4[#All],2,)</f>
        <v>, 2C</v>
      </c>
      <c r="D54" s="57" t="s">
        <v>33</v>
      </c>
      <c r="E54" s="57" t="s">
        <v>34</v>
      </c>
      <c r="H54" s="76" t="s">
        <v>78</v>
      </c>
      <c r="I54" s="76" t="s">
        <v>81</v>
      </c>
      <c r="J54" s="76" t="s">
        <v>80</v>
      </c>
      <c r="K54" s="57" t="s">
        <v>79</v>
      </c>
      <c r="L54" s="57" t="s">
        <v>59</v>
      </c>
    </row>
    <row r="55" spans="1:12" s="57" customFormat="1" x14ac:dyDescent="0.25">
      <c r="B55" s="56"/>
      <c r="D55" s="78">
        <f>HLOOKUP($F$46,Таблица25[#All],2)</f>
        <v>0.5</v>
      </c>
      <c r="E55" s="57" t="str">
        <f t="shared" ref="E55:E57" si="0">IF(D55="","",", "&amp;D55&amp;"C")</f>
        <v>, 0.5C</v>
      </c>
      <c r="H55" s="104" t="str">
        <f>IF(OR(B45="-40..+250",B45="-40..+300"),"1","0.5")</f>
        <v>0.5</v>
      </c>
      <c r="I55" s="105" t="str">
        <f>IF(OR(B45="-40..+250",B45="-40..+300"),"1","0.5")</f>
        <v>0.5</v>
      </c>
      <c r="J55" s="105">
        <v>1</v>
      </c>
      <c r="K55" s="105">
        <v>1</v>
      </c>
      <c r="L55" s="104">
        <v>0.5</v>
      </c>
    </row>
    <row r="56" spans="1:12" s="57" customFormat="1" x14ac:dyDescent="0.25">
      <c r="B56" s="56"/>
      <c r="D56" s="78">
        <f>HLOOKUP($F$46,Таблица25[#All],3)</f>
        <v>1</v>
      </c>
      <c r="E56" s="57" t="str">
        <f t="shared" si="0"/>
        <v>, 1C</v>
      </c>
      <c r="H56" s="105" t="str">
        <f>IF(OR(B45="-40..+250",B45="-40..+300"),"2","1")</f>
        <v>1</v>
      </c>
      <c r="I56" s="105" t="str">
        <f>IF(OR(B45="-40..+250",B45="-40..+300"),"2","1")</f>
        <v>1</v>
      </c>
      <c r="J56" s="105">
        <v>2</v>
      </c>
      <c r="K56" s="105">
        <v>2</v>
      </c>
      <c r="L56" s="105">
        <v>1</v>
      </c>
    </row>
    <row r="57" spans="1:12" s="57" customFormat="1" x14ac:dyDescent="0.25">
      <c r="B57" s="56"/>
      <c r="D57" s="78">
        <f>HLOOKUP($F$46,Таблица25[#All],4)</f>
        <v>2</v>
      </c>
      <c r="E57" s="57" t="str">
        <f t="shared" si="0"/>
        <v>, 2C</v>
      </c>
      <c r="H57" s="106" t="str">
        <f>IF(OR(B45="-40..+250",B45="-40..+300"),"","2")</f>
        <v>2</v>
      </c>
      <c r="I57" s="107" t="str">
        <f>IF(OR(B45="-40..+250",B45="-40..+300"),"","2")</f>
        <v>2</v>
      </c>
      <c r="J57" s="107" t="s">
        <v>27</v>
      </c>
      <c r="K57" s="107" t="s">
        <v>27</v>
      </c>
      <c r="L57" s="106">
        <v>2</v>
      </c>
    </row>
    <row r="58" spans="1:12" s="57" customFormat="1" x14ac:dyDescent="0.25">
      <c r="B58" s="56"/>
      <c r="G58" s="108"/>
    </row>
    <row r="59" spans="1:12" s="57" customFormat="1" x14ac:dyDescent="0.25">
      <c r="A59" s="75" t="s">
        <v>87</v>
      </c>
    </row>
    <row r="60" spans="1:12" s="57" customFormat="1" x14ac:dyDescent="0.25">
      <c r="A60" s="58">
        <v>1</v>
      </c>
      <c r="B60" s="109" t="str">
        <f>INDEX(D61:D71,A60,1)</f>
        <v/>
      </c>
      <c r="C60" s="58" t="str">
        <f>IF(B60="","",IF(B60="другая",'Опросный лист термоманометр'!#REF!&amp;"мм-",B60&amp;"мм-"))</f>
        <v/>
      </c>
      <c r="D60" s="57" t="s">
        <v>33</v>
      </c>
      <c r="H60" s="76" t="s">
        <v>78</v>
      </c>
      <c r="I60" s="76" t="s">
        <v>81</v>
      </c>
      <c r="J60" s="76" t="s">
        <v>80</v>
      </c>
      <c r="K60" s="57" t="s">
        <v>79</v>
      </c>
      <c r="L60" s="57" t="s">
        <v>59</v>
      </c>
    </row>
    <row r="61" spans="1:12" s="57" customFormat="1" x14ac:dyDescent="0.25">
      <c r="A61" s="86"/>
      <c r="B61" s="87"/>
      <c r="C61" s="110" t="str">
        <f>IF(B60="","",", "&amp;LEFT(C60,LEN(C60)-1))</f>
        <v/>
      </c>
      <c r="D61" s="78" t="str">
        <f>HLOOKUP($F$46,Таблица27[#All],2)</f>
        <v/>
      </c>
      <c r="H61" s="111">
        <f>IF(A45=4,120,IF(A45=3,40,40))</f>
        <v>40</v>
      </c>
      <c r="I61" s="112" t="s">
        <v>27</v>
      </c>
      <c r="J61" s="112">
        <v>41</v>
      </c>
      <c r="K61" s="112">
        <v>43</v>
      </c>
      <c r="L61" s="113" t="s">
        <v>27</v>
      </c>
    </row>
    <row r="62" spans="1:12" s="57" customFormat="1" x14ac:dyDescent="0.25">
      <c r="A62" s="86"/>
      <c r="B62" s="87"/>
      <c r="D62" s="78" t="str">
        <f>HLOOKUP($F$46,Таблица27[#All],3)</f>
        <v/>
      </c>
      <c r="H62" s="111">
        <f>IF(A45=4,160,IF(A45=3,60,46))</f>
        <v>46</v>
      </c>
      <c r="I62" s="112" t="s">
        <v>27</v>
      </c>
      <c r="J62" s="112" t="s">
        <v>27</v>
      </c>
      <c r="K62" s="112" t="s">
        <v>27</v>
      </c>
      <c r="L62" s="114" t="s">
        <v>27</v>
      </c>
    </row>
    <row r="63" spans="1:12" s="57" customFormat="1" x14ac:dyDescent="0.25">
      <c r="A63" s="86"/>
      <c r="B63" s="87"/>
      <c r="D63" s="78" t="str">
        <f>HLOOKUP($F$46,Таблица27[#All],4)</f>
        <v/>
      </c>
      <c r="H63" s="111">
        <f>IF(A45=4,200,IF(A45=3,80,60))</f>
        <v>60</v>
      </c>
      <c r="I63" s="112" t="s">
        <v>27</v>
      </c>
      <c r="J63" s="112" t="s">
        <v>27</v>
      </c>
      <c r="K63" s="112" t="s">
        <v>27</v>
      </c>
      <c r="L63" s="114" t="s">
        <v>27</v>
      </c>
    </row>
    <row r="64" spans="1:12" s="57" customFormat="1" x14ac:dyDescent="0.25">
      <c r="A64" s="86"/>
      <c r="B64" s="87"/>
      <c r="D64" s="78" t="str">
        <f>HLOOKUP($F$46,Таблица27[#All],5)</f>
        <v/>
      </c>
      <c r="H64" s="111">
        <f>IF(A45=4,"другая",IF(A45=3,100,64))</f>
        <v>64</v>
      </c>
      <c r="I64" s="112" t="s">
        <v>27</v>
      </c>
      <c r="J64" s="112" t="s">
        <v>27</v>
      </c>
      <c r="K64" s="112" t="s">
        <v>27</v>
      </c>
      <c r="L64" s="115" t="s">
        <v>27</v>
      </c>
    </row>
    <row r="65" spans="1:12" s="57" customFormat="1" x14ac:dyDescent="0.25">
      <c r="B65" s="56"/>
      <c r="D65" s="116" t="str">
        <f>HLOOKUP($F$46,Таблица27[#All],6)</f>
        <v/>
      </c>
      <c r="H65" s="111">
        <f>IF(A45=4,"",IF(A45=3,120,80))</f>
        <v>80</v>
      </c>
      <c r="I65" s="112" t="s">
        <v>27</v>
      </c>
      <c r="J65" s="112" t="s">
        <v>27</v>
      </c>
      <c r="K65" s="112" t="s">
        <v>27</v>
      </c>
      <c r="L65" s="114" t="s">
        <v>27</v>
      </c>
    </row>
    <row r="66" spans="1:12" s="57" customFormat="1" x14ac:dyDescent="0.25">
      <c r="B66" s="56"/>
      <c r="D66" s="116" t="str">
        <f>HLOOKUP($F$46,Таблица27[#All],7)</f>
        <v/>
      </c>
      <c r="H66" s="111">
        <f>IF(A45=4,"",IF(A45=3,160,100))</f>
        <v>100</v>
      </c>
      <c r="I66" s="112" t="s">
        <v>27</v>
      </c>
      <c r="J66" s="112" t="s">
        <v>27</v>
      </c>
      <c r="K66" s="112" t="s">
        <v>27</v>
      </c>
      <c r="L66" s="114" t="s">
        <v>27</v>
      </c>
    </row>
    <row r="67" spans="1:12" s="57" customFormat="1" x14ac:dyDescent="0.25">
      <c r="B67" s="56"/>
      <c r="D67" s="116" t="str">
        <f>HLOOKUP($F$46,Таблица27[#All],8)</f>
        <v/>
      </c>
      <c r="H67" s="111">
        <f>IF(A45=4,"",IF(A45=3,180,120))</f>
        <v>120</v>
      </c>
      <c r="I67" s="112" t="s">
        <v>27</v>
      </c>
      <c r="J67" s="112" t="s">
        <v>27</v>
      </c>
      <c r="K67" s="112" t="s">
        <v>27</v>
      </c>
      <c r="L67" s="114" t="s">
        <v>27</v>
      </c>
    </row>
    <row r="68" spans="1:12" s="57" customFormat="1" x14ac:dyDescent="0.25">
      <c r="B68" s="56"/>
      <c r="D68" s="116" t="str">
        <f>HLOOKUP($F$46,Таблица27[#All],9)</f>
        <v/>
      </c>
      <c r="E68" s="86"/>
      <c r="H68" s="111">
        <f>IF(A45=4,"",IF(A45=3,200,160))</f>
        <v>160</v>
      </c>
      <c r="I68" s="112" t="s">
        <v>27</v>
      </c>
      <c r="J68" s="112" t="s">
        <v>27</v>
      </c>
      <c r="K68" s="112" t="s">
        <v>27</v>
      </c>
      <c r="L68" s="114" t="s">
        <v>27</v>
      </c>
    </row>
    <row r="69" spans="1:12" s="57" customFormat="1" x14ac:dyDescent="0.25">
      <c r="B69" s="56"/>
      <c r="D69" s="116" t="str">
        <f>HLOOKUP($F$46,Таблица27[#All],10)</f>
        <v/>
      </c>
      <c r="E69" s="86"/>
      <c r="H69" s="111">
        <f>IF(A45=4,"",IF(A45=3,"другая",180))</f>
        <v>180</v>
      </c>
      <c r="I69" s="112" t="s">
        <v>27</v>
      </c>
      <c r="J69" s="112" t="s">
        <v>27</v>
      </c>
      <c r="K69" s="112" t="s">
        <v>27</v>
      </c>
      <c r="L69" s="114" t="s">
        <v>27</v>
      </c>
    </row>
    <row r="70" spans="1:12" s="57" customFormat="1" x14ac:dyDescent="0.25">
      <c r="B70" s="56"/>
      <c r="D70" s="116" t="str">
        <f>HLOOKUP($F$46,Таблица27[#All],11)</f>
        <v/>
      </c>
      <c r="E70" s="86"/>
      <c r="H70" s="111">
        <f>IF(A45=4,"",IF(A45=3,"",200))</f>
        <v>200</v>
      </c>
      <c r="I70" s="112" t="s">
        <v>27</v>
      </c>
      <c r="J70" s="112" t="s">
        <v>27</v>
      </c>
      <c r="K70" s="112" t="s">
        <v>27</v>
      </c>
      <c r="L70" s="114" t="s">
        <v>27</v>
      </c>
    </row>
    <row r="71" spans="1:12" s="57" customFormat="1" x14ac:dyDescent="0.25">
      <c r="B71" s="56"/>
      <c r="D71" s="116" t="str">
        <f>HLOOKUP($F$46,Таблица27[#All],12)</f>
        <v/>
      </c>
      <c r="E71" s="86"/>
      <c r="H71" s="117" t="str">
        <f>IF(A45=4,"",IF(A45=3,"","другая"))</f>
        <v>другая</v>
      </c>
      <c r="I71" s="112" t="s">
        <v>27</v>
      </c>
      <c r="J71" s="112" t="s">
        <v>27</v>
      </c>
      <c r="K71" s="112" t="s">
        <v>27</v>
      </c>
      <c r="L71" s="114" t="s">
        <v>27</v>
      </c>
    </row>
    <row r="72" spans="1:12" s="57" customFormat="1" x14ac:dyDescent="0.25">
      <c r="B72" s="56"/>
      <c r="D72" s="116"/>
      <c r="E72" s="86"/>
      <c r="H72" s="118"/>
      <c r="I72" s="112"/>
      <c r="J72" s="112"/>
      <c r="K72" s="112"/>
      <c r="L72" s="99"/>
    </row>
    <row r="73" spans="1:12" s="57" customFormat="1" x14ac:dyDescent="0.25">
      <c r="A73" s="75" t="s">
        <v>88</v>
      </c>
      <c r="B73" s="56"/>
    </row>
    <row r="74" spans="1:12" s="57" customFormat="1" ht="16.5" thickBot="1" x14ac:dyDescent="0.3">
      <c r="A74" s="58">
        <v>1</v>
      </c>
      <c r="B74" s="59" t="str">
        <f>INDEX(Таблица77[Столбец1],A74,1)</f>
        <v/>
      </c>
      <c r="C74" s="58" t="str">
        <f>IF(B74="","",B74&amp;"мм")</f>
        <v/>
      </c>
      <c r="D74" s="78" t="s">
        <v>33</v>
      </c>
      <c r="E74" s="78"/>
      <c r="H74" s="119" t="s">
        <v>78</v>
      </c>
      <c r="I74" s="119" t="s">
        <v>81</v>
      </c>
      <c r="J74" s="119" t="s">
        <v>80</v>
      </c>
      <c r="K74" s="119" t="s">
        <v>79</v>
      </c>
      <c r="L74" s="119" t="s">
        <v>59</v>
      </c>
    </row>
    <row r="75" spans="1:12" s="57" customFormat="1" x14ac:dyDescent="0.25">
      <c r="A75" s="86"/>
      <c r="B75" s="87"/>
      <c r="C75" s="110" t="str">
        <f>IF(B74="","",", "&amp;C74)</f>
        <v/>
      </c>
      <c r="D75" s="78" t="str">
        <f>HLOOKUP($F$46,Таблица28[#All],2)</f>
        <v/>
      </c>
      <c r="E75" s="78"/>
      <c r="H75" s="120">
        <f>IF(OR(B60=46,B60=64),"5",IF(B60=180,8,4))</f>
        <v>4</v>
      </c>
      <c r="I75" s="112" t="s">
        <v>27</v>
      </c>
      <c r="J75" s="112">
        <v>9</v>
      </c>
      <c r="K75" s="112">
        <v>7</v>
      </c>
      <c r="L75" s="113" t="s">
        <v>27</v>
      </c>
    </row>
    <row r="76" spans="1:12" s="57" customFormat="1" x14ac:dyDescent="0.25">
      <c r="A76" s="86"/>
      <c r="B76" s="87"/>
      <c r="D76" s="78" t="str">
        <f>HLOOKUP($F$46,Таблица28[#All],3)</f>
        <v/>
      </c>
      <c r="E76" s="78"/>
      <c r="H76" s="111">
        <f>IF(OR(B60=46,B60=64),"",IF(B60=180,"",5))</f>
        <v>5</v>
      </c>
      <c r="I76" s="112" t="s">
        <v>27</v>
      </c>
      <c r="J76" s="112" t="s">
        <v>27</v>
      </c>
      <c r="K76" s="112" t="s">
        <v>27</v>
      </c>
      <c r="L76" s="114" t="s">
        <v>27</v>
      </c>
    </row>
    <row r="77" spans="1:12" s="57" customFormat="1" x14ac:dyDescent="0.25">
      <c r="A77" s="86"/>
      <c r="B77" s="87"/>
      <c r="D77" s="78" t="str">
        <f>HLOOKUP($F$46,Таблица28[#All],4)</f>
        <v/>
      </c>
      <c r="E77" s="78"/>
      <c r="H77" s="111">
        <f>IF(OR(B60=46,B60=64),"",IF(B60=180,"",6))</f>
        <v>6</v>
      </c>
      <c r="I77" s="112" t="s">
        <v>27</v>
      </c>
      <c r="J77" s="112" t="s">
        <v>27</v>
      </c>
      <c r="K77" s="112" t="s">
        <v>27</v>
      </c>
      <c r="L77" s="114" t="s">
        <v>27</v>
      </c>
    </row>
    <row r="78" spans="1:12" s="57" customFormat="1" x14ac:dyDescent="0.25">
      <c r="A78" s="86"/>
      <c r="B78" s="87"/>
      <c r="D78" s="78" t="str">
        <f>HLOOKUP($F$46,Таблица28[#All],5)</f>
        <v/>
      </c>
      <c r="E78" s="78"/>
      <c r="H78" s="111">
        <f>IF(OR(B60=46,B60=64),"",IF(B60=180,"",8))</f>
        <v>8</v>
      </c>
      <c r="I78" s="112" t="s">
        <v>27</v>
      </c>
      <c r="J78" s="112" t="s">
        <v>27</v>
      </c>
      <c r="K78" s="112" t="s">
        <v>27</v>
      </c>
      <c r="L78" s="114" t="s">
        <v>27</v>
      </c>
    </row>
    <row r="79" spans="1:12" s="57" customFormat="1" x14ac:dyDescent="0.25">
      <c r="A79" s="86"/>
      <c r="B79" s="87"/>
      <c r="D79" s="78" t="str">
        <f>HLOOKUP($F$46,Таблица28[#All],6)</f>
        <v/>
      </c>
      <c r="E79" s="78"/>
      <c r="H79" s="117">
        <f>IF(OR(B60=46,B60=64,B60=40,B60=180),"",10)</f>
        <v>10</v>
      </c>
      <c r="I79" s="112" t="s">
        <v>27</v>
      </c>
      <c r="J79" s="112" t="s">
        <v>27</v>
      </c>
      <c r="K79" s="112" t="s">
        <v>27</v>
      </c>
      <c r="L79" s="115" t="s">
        <v>27</v>
      </c>
    </row>
    <row r="80" spans="1:12" s="57" customFormat="1" x14ac:dyDescent="0.25">
      <c r="B80" s="56"/>
    </row>
    <row r="81" spans="1:7" s="57" customFormat="1" x14ac:dyDescent="0.25">
      <c r="A81" s="75" t="s">
        <v>28</v>
      </c>
      <c r="B81" s="56"/>
      <c r="G81" s="108"/>
    </row>
    <row r="82" spans="1:7" s="57" customFormat="1" x14ac:dyDescent="0.25">
      <c r="A82" s="58">
        <v>1</v>
      </c>
      <c r="B82" s="58" t="str">
        <f>INDEX(Таблица26[Столбец1],A82,1)</f>
        <v/>
      </c>
      <c r="C82" s="58" t="str">
        <f ca="1">C33&amp;VLOOKUP(B82,Таблица26[],2,)</f>
        <v/>
      </c>
      <c r="D82" s="57" t="s">
        <v>33</v>
      </c>
      <c r="E82" s="57" t="s">
        <v>34</v>
      </c>
      <c r="G82" s="108"/>
    </row>
    <row r="83" spans="1:7" s="57" customFormat="1" x14ac:dyDescent="0.25">
      <c r="C83" s="88"/>
      <c r="D83" s="57" t="str">
        <f>IF(AND(A28=1,A33=1,A45&lt;4,B60&lt;&gt;180,B74&lt;&gt;10),"бескорпусной с выводами",IF(AND(A28=1,A33=1,OR(A45&gt;3,B60=180,B74=10)),"коммутационная (клеммная) головка",""))</f>
        <v/>
      </c>
      <c r="E83" s="57" t="str">
        <f>IF(AND(A28=1,A33=1,A45&lt;4,B60&lt;&gt;180,B74&lt;&gt;10),"3-",IF(AND(A28=1,A33=1,OR(A45&gt;3,B60=180,B74=10)),"2-",""))</f>
        <v/>
      </c>
      <c r="G83" s="108"/>
    </row>
    <row r="84" spans="1:7" s="57" customFormat="1" x14ac:dyDescent="0.25">
      <c r="C84" s="88"/>
      <c r="D84" s="57" t="str">
        <f>IF(AND(A28=1,A33=1,A45&lt;4,B60&lt;&gt;180,B60&lt;&gt;46,B60&lt;&gt;64,B74&lt;&gt;10,NOT(AND(B60=40,B74=8))),"коммутационная (клеммная) головка","")</f>
        <v/>
      </c>
      <c r="E84" s="57" t="str">
        <f>IF(AND(A28=1,A33=1,A45&lt;4,B60&lt;&gt;180,B60&lt;&gt;46,B60&lt;&gt;64,B74&lt;&gt;10,NOT(AND(B60=40,B74=8))),"2-","")</f>
        <v/>
      </c>
      <c r="G84" s="108"/>
    </row>
    <row r="85" spans="1:7" s="57" customFormat="1" x14ac:dyDescent="0.25">
      <c r="B85" s="56"/>
    </row>
    <row r="86" spans="1:7" s="57" customFormat="1" x14ac:dyDescent="0.25">
      <c r="A86" s="75" t="s">
        <v>89</v>
      </c>
      <c r="B86" s="56"/>
    </row>
    <row r="87" spans="1:7" s="57" customFormat="1" x14ac:dyDescent="0.25">
      <c r="A87" s="58">
        <v>1</v>
      </c>
      <c r="B87" s="59" t="str">
        <f ca="1">INDEX(D88:D94,A87,1)</f>
        <v/>
      </c>
      <c r="C87" s="58" t="str">
        <f ca="1">VLOOKUP(B87,Таблица100[#All],2,)</f>
        <v/>
      </c>
      <c r="D87" s="78" t="s">
        <v>33</v>
      </c>
      <c r="E87" s="78" t="s">
        <v>34</v>
      </c>
      <c r="F87" s="76" t="s">
        <v>60</v>
      </c>
      <c r="G87" s="76" t="s">
        <v>59</v>
      </c>
    </row>
    <row r="88" spans="1:7" s="57" customFormat="1" x14ac:dyDescent="0.25">
      <c r="A88" s="86"/>
      <c r="B88" s="87"/>
      <c r="D88" s="78" t="str">
        <f ca="1">IF(OFFSET(F88:F94,0,$A$28-1)=0,"",OFFSET(F88:F94,0,$A$28-1))</f>
        <v/>
      </c>
      <c r="E88" s="78" t="str">
        <f t="shared" ref="E88:E93" ca="1" si="1">IF(D88="","",", "&amp;D88&amp;"м")</f>
        <v/>
      </c>
      <c r="F88" s="120">
        <v>1</v>
      </c>
      <c r="G88" s="121"/>
    </row>
    <row r="89" spans="1:7" s="57" customFormat="1" x14ac:dyDescent="0.25">
      <c r="A89" s="86"/>
      <c r="B89" s="87"/>
      <c r="D89" s="78" t="str">
        <f ca="1">IF(OFFSET(F89:F95,0,$A$28-1)=0,"",OFFSET(F89:F95,0,$A$28-1))</f>
        <v/>
      </c>
      <c r="E89" s="78" t="str">
        <f t="shared" ca="1" si="1"/>
        <v/>
      </c>
      <c r="F89" s="111">
        <v>2</v>
      </c>
      <c r="G89" s="122"/>
    </row>
    <row r="90" spans="1:7" s="57" customFormat="1" x14ac:dyDescent="0.25">
      <c r="B90" s="87"/>
      <c r="D90" s="78" t="str">
        <f ca="1">IF(OFFSET(F90:F95,0,$A$28-1)=0,"",OFFSET(F90:F95,0,$A$28-1))</f>
        <v/>
      </c>
      <c r="E90" s="78" t="str">
        <f t="shared" ca="1" si="1"/>
        <v/>
      </c>
      <c r="F90" s="111">
        <v>3</v>
      </c>
      <c r="G90" s="122"/>
    </row>
    <row r="91" spans="1:7" s="57" customFormat="1" x14ac:dyDescent="0.25">
      <c r="B91" s="87"/>
      <c r="D91" s="78" t="str">
        <f ca="1">IF(OFFSET(F91:F101,0,$A$28-1)=0,"",OFFSET(F91:F101,0,$A$28-1))</f>
        <v/>
      </c>
      <c r="E91" s="78" t="str">
        <f t="shared" ca="1" si="1"/>
        <v/>
      </c>
      <c r="F91" s="111">
        <v>5</v>
      </c>
      <c r="G91" s="122"/>
    </row>
    <row r="92" spans="1:7" s="57" customFormat="1" x14ac:dyDescent="0.25">
      <c r="A92" s="86"/>
      <c r="B92" s="87"/>
      <c r="D92" s="78" t="str">
        <f ca="1">IF(OFFSET(F92:F108,0,$A$28-1)=0,"",OFFSET(F92:F108,0,$A$28-1))</f>
        <v/>
      </c>
      <c r="E92" s="78" t="str">
        <f t="shared" ca="1" si="1"/>
        <v/>
      </c>
      <c r="F92" s="111">
        <v>7</v>
      </c>
      <c r="G92" s="122"/>
    </row>
    <row r="93" spans="1:7" s="57" customFormat="1" x14ac:dyDescent="0.25">
      <c r="A93" s="86"/>
      <c r="B93" s="87"/>
      <c r="D93" s="78" t="str">
        <f ca="1">IF(OFFSET(F93:F108,0,$A$28-1)=0,"",OFFSET(F93:F108,0,$A$28-1))</f>
        <v/>
      </c>
      <c r="E93" s="78" t="str">
        <f t="shared" ca="1" si="1"/>
        <v/>
      </c>
      <c r="F93" s="111">
        <v>10</v>
      </c>
      <c r="G93" s="122"/>
    </row>
    <row r="94" spans="1:7" s="57" customFormat="1" x14ac:dyDescent="0.25">
      <c r="A94" s="86"/>
      <c r="B94" s="87"/>
      <c r="D94" s="78" t="str">
        <f ca="1">IF(OFFSET(F94:F110,0,$A$28-1)=0,"",OFFSET(F94:F110,0,$A$28-1))</f>
        <v/>
      </c>
      <c r="E94" s="78" t="str">
        <f ca="1">IF(D94="другая",", "&amp;'Опросный лист термоманометр'!#REF!&amp;"м","")</f>
        <v/>
      </c>
      <c r="F94" s="117" t="s">
        <v>9</v>
      </c>
      <c r="G94" s="123"/>
    </row>
    <row r="95" spans="1:7" s="57" customFormat="1" x14ac:dyDescent="0.25">
      <c r="B95" s="56"/>
    </row>
    <row r="96" spans="1:7" s="57" customFormat="1" x14ac:dyDescent="0.25">
      <c r="A96" s="55" t="s">
        <v>17</v>
      </c>
      <c r="B96" s="56"/>
    </row>
    <row r="97" spans="1:12" s="57" customFormat="1" ht="16.5" thickBot="1" x14ac:dyDescent="0.3">
      <c r="A97" s="58">
        <v>1</v>
      </c>
      <c r="B97" s="109" t="str">
        <f>INDEX(D98:D101,A97,1)</f>
        <v/>
      </c>
      <c r="C97" s="58" t="str">
        <f>IF(B97="труба гофрированная полимерная",", ТГ",IF(B97="пружина металлическая",", ПМ",IF(B97="другая",", "&amp;'Опросный лист термоманометр'!#REF!,"")))</f>
        <v/>
      </c>
      <c r="D97" s="57" t="s">
        <v>33</v>
      </c>
      <c r="H97" s="119" t="s">
        <v>78</v>
      </c>
      <c r="I97" s="119" t="s">
        <v>81</v>
      </c>
      <c r="J97" s="119" t="s">
        <v>80</v>
      </c>
      <c r="K97" s="119" t="s">
        <v>79</v>
      </c>
      <c r="L97" s="119" t="s">
        <v>59</v>
      </c>
    </row>
    <row r="98" spans="1:12" s="57" customFormat="1" x14ac:dyDescent="0.25">
      <c r="A98" s="86"/>
      <c r="B98" s="87"/>
      <c r="C98" s="88"/>
      <c r="D98" s="57" t="str">
        <f>HLOOKUP($F$46,Таблица29[#All],2)</f>
        <v/>
      </c>
      <c r="E98" s="112"/>
      <c r="H98" s="124" t="s">
        <v>18</v>
      </c>
      <c r="I98" s="57" t="s">
        <v>18</v>
      </c>
      <c r="J98" s="124" t="s">
        <v>18</v>
      </c>
      <c r="K98" s="57" t="s">
        <v>18</v>
      </c>
      <c r="L98" s="113" t="s">
        <v>27</v>
      </c>
    </row>
    <row r="99" spans="1:12" s="57" customFormat="1" x14ac:dyDescent="0.25">
      <c r="A99" s="86"/>
      <c r="B99" s="87"/>
      <c r="D99" s="57" t="str">
        <f>HLOOKUP($F$46,Таблица29[#All],3)</f>
        <v/>
      </c>
      <c r="H99" s="125" t="str">
        <f>IF(OR(B45="-40..+250",B45="-40..+300"),"пружина металлическая","труба гофрированная полимерная")</f>
        <v>труба гофрированная полимерная</v>
      </c>
      <c r="I99" s="57" t="str">
        <f>IF(OR(B45="-40..+250",B45="-40..+300"),"пружина металлическая","труба гофрированная полимерная")</f>
        <v>труба гофрированная полимерная</v>
      </c>
      <c r="J99" s="125" t="str">
        <f>IF(OR(B45="-40..+250",B45="-40..+300"),"пружина металлическая","труба гофрированная полимерная")</f>
        <v>труба гофрированная полимерная</v>
      </c>
      <c r="K99" s="57" t="str">
        <f>IF(OR(B45="-40..+250",B45="-40..+300"),"пружина металлическая","труба гофрированная полимерная")</f>
        <v>труба гофрированная полимерная</v>
      </c>
      <c r="L99" s="114" t="s">
        <v>27</v>
      </c>
    </row>
    <row r="100" spans="1:12" s="57" customFormat="1" x14ac:dyDescent="0.25">
      <c r="A100" s="86"/>
      <c r="B100" s="87"/>
      <c r="D100" s="57" t="str">
        <f>HLOOKUP($F$46,Таблица29[#All],4)</f>
        <v/>
      </c>
      <c r="H100" s="126" t="s">
        <v>20</v>
      </c>
      <c r="I100" s="57" t="s">
        <v>9</v>
      </c>
      <c r="J100" s="126" t="s">
        <v>20</v>
      </c>
      <c r="K100" s="57" t="s">
        <v>9</v>
      </c>
      <c r="L100" s="115" t="s">
        <v>27</v>
      </c>
    </row>
    <row r="101" spans="1:12" s="57" customFormat="1" x14ac:dyDescent="0.25">
      <c r="B101" s="56"/>
      <c r="D101" s="57" t="str">
        <f>HLOOKUP($F$46,Таблица29[#All],5)</f>
        <v/>
      </c>
      <c r="H101" s="112" t="s">
        <v>27</v>
      </c>
      <c r="I101" s="112" t="s">
        <v>27</v>
      </c>
      <c r="J101" s="112" t="s">
        <v>27</v>
      </c>
      <c r="K101" s="112" t="s">
        <v>27</v>
      </c>
      <c r="L101" s="112" t="s">
        <v>27</v>
      </c>
    </row>
    <row r="102" spans="1:12" x14ac:dyDescent="0.25">
      <c r="B102" s="36"/>
      <c r="H102" s="40"/>
      <c r="I102" s="40"/>
      <c r="K102" s="40"/>
    </row>
    <row r="103" spans="1:12" x14ac:dyDescent="0.25">
      <c r="A103" s="49" t="s">
        <v>7</v>
      </c>
      <c r="B103" s="36"/>
      <c r="H103" s="40"/>
      <c r="I103" s="40"/>
      <c r="K103" s="40"/>
    </row>
    <row r="104" spans="1:12" x14ac:dyDescent="0.25">
      <c r="A104" s="7">
        <v>2</v>
      </c>
      <c r="B104" s="51" t="str">
        <f>INDEX(D105:D107,A104,1)</f>
        <v>коррозионностойкое К2 (по ГОСТ 13846-89)/«Ор» (по РТМ 311.001-90)</v>
      </c>
      <c r="C104" s="7" t="str">
        <f>INDEX(Таблица155[Столбец2],A104,1)</f>
        <v>, К2</v>
      </c>
      <c r="D104" s="1" t="s">
        <v>33</v>
      </c>
      <c r="E104" s="1" t="s">
        <v>34</v>
      </c>
    </row>
    <row r="105" spans="1:12" x14ac:dyDescent="0.25">
      <c r="B105" s="36"/>
      <c r="D105" s="1" t="s">
        <v>10</v>
      </c>
      <c r="E105" s="40" t="s">
        <v>27</v>
      </c>
      <c r="K105" s="40"/>
      <c r="L105" s="40"/>
    </row>
    <row r="106" spans="1:12" x14ac:dyDescent="0.25">
      <c r="B106" s="36"/>
      <c r="D106" s="1" t="s">
        <v>98</v>
      </c>
      <c r="E106" s="1" t="s">
        <v>119</v>
      </c>
    </row>
    <row r="107" spans="1:12" x14ac:dyDescent="0.25">
      <c r="B107" s="36"/>
      <c r="D107" s="1" t="s">
        <v>99</v>
      </c>
      <c r="E107" s="1" t="s">
        <v>93</v>
      </c>
      <c r="I107" s="40"/>
      <c r="L107" s="40"/>
    </row>
    <row r="108" spans="1:12" x14ac:dyDescent="0.25">
      <c r="B108" s="36"/>
    </row>
    <row r="109" spans="1:12" x14ac:dyDescent="0.25">
      <c r="A109" s="55" t="s">
        <v>8</v>
      </c>
      <c r="B109" s="56"/>
      <c r="C109" s="57"/>
      <c r="D109" s="57"/>
      <c r="E109" s="57"/>
    </row>
    <row r="110" spans="1:12" x14ac:dyDescent="0.25">
      <c r="A110" s="58"/>
      <c r="B110" s="59"/>
      <c r="C110" s="58" t="s">
        <v>110</v>
      </c>
      <c r="D110" s="57" t="s">
        <v>33</v>
      </c>
      <c r="E110" s="57" t="s">
        <v>34</v>
      </c>
    </row>
    <row r="111" spans="1:12" x14ac:dyDescent="0.25">
      <c r="A111" s="57"/>
      <c r="B111" s="56"/>
      <c r="C111" s="57"/>
      <c r="D111" s="57" t="s">
        <v>111</v>
      </c>
      <c r="E111" s="57" t="s">
        <v>110</v>
      </c>
    </row>
    <row r="112" spans="1:12" x14ac:dyDescent="0.25">
      <c r="A112" s="57"/>
      <c r="B112" s="56"/>
      <c r="C112" s="57"/>
      <c r="D112" s="57" t="s">
        <v>11</v>
      </c>
      <c r="E112" s="57" t="s">
        <v>51</v>
      </c>
    </row>
    <row r="113" spans="1:6" x14ac:dyDescent="0.25">
      <c r="A113" s="57"/>
      <c r="B113" s="56"/>
      <c r="C113" s="57"/>
      <c r="D113" s="57" t="s">
        <v>9</v>
      </c>
      <c r="E113" s="57" t="e">
        <f>", "&amp;'Опросный лист термоманометр'!#REF!</f>
        <v>#REF!</v>
      </c>
    </row>
    <row r="114" spans="1:6" x14ac:dyDescent="0.25">
      <c r="B114" s="36"/>
    </row>
    <row r="115" spans="1:6" x14ac:dyDescent="0.25">
      <c r="A115" s="49" t="s">
        <v>62</v>
      </c>
      <c r="B115" s="36"/>
    </row>
    <row r="116" spans="1:6" x14ac:dyDescent="0.25">
      <c r="A116" s="7">
        <v>1</v>
      </c>
      <c r="B116" s="45" t="str">
        <f>INDEX(D117:D118,A116,1)</f>
        <v>LoRaWAN + Bluetooth Low Energy</v>
      </c>
      <c r="C116" s="7" t="str">
        <f>VLOOKUP(B116,D116:E118,2,)</f>
        <v>, LoRa</v>
      </c>
      <c r="D116" s="1" t="s">
        <v>33</v>
      </c>
      <c r="E116" s="1" t="s">
        <v>34</v>
      </c>
      <c r="F116" s="1" t="s">
        <v>67</v>
      </c>
    </row>
    <row r="117" spans="1:6" x14ac:dyDescent="0.25">
      <c r="B117" s="36"/>
      <c r="C117" s="10" t="str">
        <f>VLOOKUP(B116,D116:F118,3,)</f>
        <v>, LoRaWAN</v>
      </c>
      <c r="D117" s="1" t="s">
        <v>63</v>
      </c>
      <c r="E117" s="1" t="s">
        <v>65</v>
      </c>
      <c r="F117" s="1" t="s">
        <v>68</v>
      </c>
    </row>
    <row r="118" spans="1:6" x14ac:dyDescent="0.25">
      <c r="B118" s="36"/>
      <c r="D118" s="1" t="s">
        <v>64</v>
      </c>
      <c r="E118" s="1" t="s">
        <v>66</v>
      </c>
      <c r="F118" s="1" t="s">
        <v>66</v>
      </c>
    </row>
    <row r="119" spans="1:6" x14ac:dyDescent="0.25">
      <c r="B119" s="36"/>
    </row>
    <row r="120" spans="1:6" x14ac:dyDescent="0.25">
      <c r="A120" s="49" t="s">
        <v>82</v>
      </c>
      <c r="B120" s="36"/>
    </row>
    <row r="121" spans="1:6" x14ac:dyDescent="0.25">
      <c r="A121" s="47">
        <v>1</v>
      </c>
      <c r="B121" s="45" t="str">
        <f>INDEX(Таблица19[],A121,1)</f>
        <v>от -40 до +60 °C (индустриальный температурный диапазон)</v>
      </c>
      <c r="C121" s="7" t="str">
        <f>INDEX(Таблица19[],A121,2)</f>
        <v/>
      </c>
      <c r="D121" s="1" t="s">
        <v>33</v>
      </c>
      <c r="E121" s="1" t="s">
        <v>34</v>
      </c>
    </row>
    <row r="122" spans="1:6" x14ac:dyDescent="0.25">
      <c r="A122" s="33"/>
      <c r="B122" s="36"/>
      <c r="D122" s="1" t="s">
        <v>90</v>
      </c>
      <c r="E122" s="1" t="s">
        <v>27</v>
      </c>
    </row>
    <row r="123" spans="1:6" x14ac:dyDescent="0.25">
      <c r="A123" s="33"/>
      <c r="B123" s="36"/>
      <c r="D123" s="1" t="str">
        <f>IF(A116=1,"от -52 до +60 °C (низкотемпературный диапазон)","")</f>
        <v>от -52 до +60 °C (низкотемпературный диапазон)</v>
      </c>
      <c r="E123" s="1" t="str">
        <f>IF(A116=1,", Н","")</f>
        <v>, Н</v>
      </c>
    </row>
    <row r="124" spans="1:6" x14ac:dyDescent="0.25">
      <c r="A124" s="33"/>
      <c r="B124" s="36"/>
      <c r="D124" s="1" t="str">
        <f>IF(A116=1,"от -56 до +60 °C (расширенный низкотемпературный диапазон)","")</f>
        <v>от -56 до +60 °C (расширенный низкотемпературный диапазон)</v>
      </c>
      <c r="E124" s="1" t="str">
        <f>IF(A116=1,", РН","")</f>
        <v>, РН</v>
      </c>
    </row>
    <row r="125" spans="1:6" x14ac:dyDescent="0.25">
      <c r="A125" s="33"/>
      <c r="B125" s="36"/>
    </row>
    <row r="126" spans="1:6" x14ac:dyDescent="0.25">
      <c r="A126" s="49" t="s">
        <v>19</v>
      </c>
      <c r="B126" s="36"/>
    </row>
    <row r="127" spans="1:6" x14ac:dyDescent="0.25">
      <c r="A127" s="7">
        <v>1</v>
      </c>
      <c r="B127" s="41" t="str">
        <f>INDEX(D128:D170,A127,1)</f>
        <v>не требуется</v>
      </c>
      <c r="C127" s="7" t="str">
        <f>VLOOKUP(B127,Таблица188[#All],2,)</f>
        <v/>
      </c>
      <c r="D127" s="1" t="s">
        <v>33</v>
      </c>
      <c r="E127" s="1" t="s">
        <v>34</v>
      </c>
    </row>
    <row r="128" spans="1:6" x14ac:dyDescent="0.25">
      <c r="B128" s="6"/>
      <c r="C128" s="9" t="str">
        <f>IF(B127="требуется","Первичная поверка","")</f>
        <v/>
      </c>
      <c r="D128" s="1" t="s">
        <v>16</v>
      </c>
      <c r="E128" s="40" t="s">
        <v>27</v>
      </c>
    </row>
    <row r="129" spans="1:7" x14ac:dyDescent="0.25">
      <c r="B129" s="36"/>
      <c r="D129" s="1" t="s">
        <v>29</v>
      </c>
      <c r="E129" s="1" t="s">
        <v>50</v>
      </c>
    </row>
    <row r="131" spans="1:7" s="57" customFormat="1" x14ac:dyDescent="0.25">
      <c r="A131" s="75" t="s">
        <v>92</v>
      </c>
    </row>
    <row r="132" spans="1:7" s="57" customFormat="1" x14ac:dyDescent="0.25">
      <c r="A132" s="58" t="b">
        <v>0</v>
      </c>
      <c r="B132" s="59" t="b">
        <f>IF(AND(A132,A33=1,A28=1,A5&lt;9,B104&lt;&gt;"коррозионностойкое К3 (по ГОСТ 13846-89)/«Астр» (по РТМ 311.001-90)"),TRUE,FALSE)</f>
        <v>0</v>
      </c>
      <c r="C132" s="58" t="str">
        <f>IF(B132,IF(G135="","Гильза защитная","Гильза защитная ГЗ."&amp;C133&amp;".1.1."&amp;C134),"")</f>
        <v/>
      </c>
      <c r="D132" s="76" t="s">
        <v>33</v>
      </c>
      <c r="E132" s="76" t="s">
        <v>34</v>
      </c>
    </row>
    <row r="133" spans="1:7" s="57" customFormat="1" x14ac:dyDescent="0.25">
      <c r="B133" s="56"/>
      <c r="C133" s="58">
        <f>G135</f>
        <v>16</v>
      </c>
      <c r="D133" s="57">
        <v>40</v>
      </c>
      <c r="E133" s="57">
        <f>IF(A5&lt;8,40,60)</f>
        <v>40</v>
      </c>
      <c r="G133" s="77">
        <f>IF(A5&lt;8,16,IF(A5=8,25,""))</f>
        <v>16</v>
      </c>
    </row>
    <row r="134" spans="1:7" s="57" customFormat="1" x14ac:dyDescent="0.25">
      <c r="B134" s="56"/>
      <c r="C134" s="58" t="str">
        <f>IF(B132,VLOOKUP(B60,Таблица8[#All],2),"")</f>
        <v/>
      </c>
      <c r="D134" s="57">
        <v>46</v>
      </c>
      <c r="E134" s="57">
        <v>60</v>
      </c>
      <c r="G134" s="77">
        <f>IF(A74&lt;5,16,IF(A74=5,25,""))</f>
        <v>16</v>
      </c>
    </row>
    <row r="135" spans="1:7" s="57" customFormat="1" x14ac:dyDescent="0.25">
      <c r="B135" s="56"/>
      <c r="D135" s="57">
        <v>60</v>
      </c>
      <c r="E135" s="57">
        <v>60</v>
      </c>
      <c r="G135" s="58">
        <f>IF(OR(G133="",G134=""),"",MAX(G133,G134))</f>
        <v>16</v>
      </c>
    </row>
    <row r="136" spans="1:7" s="57" customFormat="1" x14ac:dyDescent="0.25">
      <c r="B136" s="56"/>
      <c r="D136" s="57">
        <v>64</v>
      </c>
      <c r="E136" s="57">
        <v>80</v>
      </c>
    </row>
    <row r="137" spans="1:7" s="57" customFormat="1" x14ac:dyDescent="0.25">
      <c r="B137" s="56"/>
      <c r="D137" s="57">
        <v>80</v>
      </c>
      <c r="E137" s="57">
        <v>80</v>
      </c>
    </row>
    <row r="138" spans="1:7" s="57" customFormat="1" x14ac:dyDescent="0.25">
      <c r="D138" s="57">
        <v>100</v>
      </c>
      <c r="E138" s="57">
        <v>100</v>
      </c>
    </row>
    <row r="139" spans="1:7" s="57" customFormat="1" x14ac:dyDescent="0.25">
      <c r="D139" s="57">
        <v>120</v>
      </c>
      <c r="E139" s="57">
        <v>120</v>
      </c>
    </row>
    <row r="140" spans="1:7" s="57" customFormat="1" x14ac:dyDescent="0.25">
      <c r="D140" s="57">
        <v>160</v>
      </c>
      <c r="E140" s="57">
        <v>160</v>
      </c>
    </row>
    <row r="141" spans="1:7" s="57" customFormat="1" x14ac:dyDescent="0.25">
      <c r="D141" s="56">
        <v>180</v>
      </c>
      <c r="E141" s="56">
        <v>200</v>
      </c>
    </row>
    <row r="142" spans="1:7" s="57" customFormat="1" x14ac:dyDescent="0.25">
      <c r="D142" s="56">
        <v>200</v>
      </c>
      <c r="E142" s="56">
        <v>200</v>
      </c>
    </row>
    <row r="143" spans="1:7" s="57" customFormat="1" x14ac:dyDescent="0.25">
      <c r="D143" s="56" t="s">
        <v>9</v>
      </c>
      <c r="E143" s="56" t="e">
        <f>'Опросный лист термоманометр'!#REF!</f>
        <v>#REF!</v>
      </c>
    </row>
    <row r="144" spans="1:7" x14ac:dyDescent="0.25">
      <c r="D144" s="60"/>
      <c r="E144" s="60"/>
    </row>
    <row r="145" spans="1:5" x14ac:dyDescent="0.25">
      <c r="A145" s="48" t="s">
        <v>91</v>
      </c>
    </row>
    <row r="146" spans="1:5" x14ac:dyDescent="0.25">
      <c r="A146" s="7" t="b">
        <v>0</v>
      </c>
      <c r="B146" s="7"/>
      <c r="C146" s="7" t="str">
        <f>IF(AND(A146,B104&lt;&gt;"коррозионностойкое К3 (по ГОСТ 13846-89)/«Астр» (по РТМ 311.001-90)"),D146,"")</f>
        <v/>
      </c>
      <c r="D146" s="7" t="str">
        <f>E146&amp;E147&amp;E148</f>
        <v>Отвод охладитель ТО-СП1-2.35 или ОС100-ОХ4</v>
      </c>
      <c r="E146" s="7" t="str">
        <f>IF(A5&lt;8,"Отвод охладитель ТО-СП1-2.35 или ОС100-ОХ4","")</f>
        <v>Отвод охладитель ТО-СП1-2.35 или ОС100-ОХ4</v>
      </c>
    </row>
    <row r="147" spans="1:5" x14ac:dyDescent="0.25">
      <c r="E147" s="7" t="str">
        <f>IF(OR(A5=8,A5=9),"Отвод охладитель ОС100-ОХ4 или ОХ28-A1.1 (СтН) внеш. M20х1,5 - внутр. M20х1,5","")</f>
        <v/>
      </c>
    </row>
    <row r="148" spans="1:5" x14ac:dyDescent="0.25">
      <c r="E148" s="7" t="str">
        <f>IF(AND(A5=10,A45&lt;4),"Отвод охладитель ОХ28-A1.1 (СтН) внеш. M20х1,5 - внутр. M20х1,5 или ОХ50-A1.1 (СтН) внеш. M20х1,5 - внутр. M20х1,5",IF(AND(A5=10,A45&gt;3),"ОХ50-A1.1 (СтН) внеш. M20х1,5 - внутр. M20х1,5",""))</f>
        <v/>
      </c>
    </row>
    <row r="150" spans="1:5" x14ac:dyDescent="0.25">
      <c r="A150" s="48" t="s">
        <v>100</v>
      </c>
    </row>
    <row r="151" spans="1:5" x14ac:dyDescent="0.25">
      <c r="A151" s="7" t="b">
        <v>0</v>
      </c>
      <c r="B151" s="7"/>
      <c r="C151" s="7" t="str">
        <f>IF(A151,D151,"")</f>
        <v/>
      </c>
      <c r="D151" s="7" t="str">
        <f>E151&amp;E152&amp;E153</f>
        <v>Блок клапанный БКН2-59</v>
      </c>
      <c r="E151" s="7" t="str">
        <f>IF(AND(A5&lt;10,OR(A45&lt;3,A146),B104="обычное"),"Двухвентильный клапанный блок КБ2 15лс54бк Ду15 Ру400, сталь 09Г2С; вход среды - наружная M20х1,5; выход среды - накидная гайка M20х1,5; боковой дренаж/контроль - накидная гайка M20х1,5","")</f>
        <v/>
      </c>
    </row>
    <row r="152" spans="1:5" x14ac:dyDescent="0.25">
      <c r="E152" s="7" t="str">
        <f>IF(AND(A5&lt;10,OR(A45&lt;3,A146),B104="коррозионностойкое К2 (по ГОСТ 13846-89)/«Ор» (по РТМ 311.001-90)"),"Блок клапанный БКН2-59","")</f>
        <v>Блок клапанный БКН2-59</v>
      </c>
    </row>
    <row r="153" spans="1:5" x14ac:dyDescent="0.25">
      <c r="E153" s="7" t="str">
        <f>IF(AND(A5&lt;10,OR(A45&lt;3,A146),B104="коррозионностойкое К3 (по ГОСТ 13846-89)/«Астр» (по РТМ 311.001-90)"),"Двухвентильный клапанный блок КБ2 15нж54бк Ду15 Ру400, сталь 12Х18Н10Т; вход среды - наружная M20х1,5; выход среды - накидная гайка M20х1,5","")</f>
        <v/>
      </c>
    </row>
    <row r="155" spans="1:5" x14ac:dyDescent="0.25">
      <c r="A155" s="48" t="s">
        <v>101</v>
      </c>
    </row>
    <row r="156" spans="1:5" x14ac:dyDescent="0.25">
      <c r="A156" s="7" t="b">
        <v>0</v>
      </c>
      <c r="B156" s="7"/>
      <c r="C156" s="7" t="str">
        <f>IF(AND(A156,OR(A45&lt;3,A146)),D156,"")</f>
        <v/>
      </c>
      <c r="D156" s="46" t="str">
        <f>E156&amp;E157&amp;E158&amp;E159&amp;E160</f>
        <v>Клапан запорный 15нж54бкМ Ду15 Ру250, сталь 12Х18Н10Т, наружная M20х1,5 – стяжная муфта M20х1,5</v>
      </c>
      <c r="E156" s="7" t="str">
        <f>IF(AND(B104&lt;&gt;"обычное",A5&lt;9),"Клапан запорный 15нж54бкМ Ду15 Ру250, сталь 12Х18Н10Т, наружная M20х1,5 – стяжная муфта M20х1,5","")</f>
        <v>Клапан запорный 15нж54бкМ Ду15 Ру250, сталь 12Х18Н10Т, наружная M20х1,5 – стяжная муфта M20х1,5</v>
      </c>
    </row>
    <row r="157" spans="1:5" x14ac:dyDescent="0.25">
      <c r="E157" s="7" t="str">
        <f>IF(AND(B104&lt;&gt;"обычное",A5=9),"Клапан запорный 15нж54бк Ду15 Ру400, сталь 12Х18Н10Т, наружная M20х1,5 – внутренняя M20х1,5","")</f>
        <v/>
      </c>
    </row>
    <row r="158" spans="1:5" x14ac:dyDescent="0.25">
      <c r="E158" s="7" t="str">
        <f>IF(AND(B104&lt;&gt;"обычное",A5=10),"Вентиль ВПЭМ 5х700 Ду5 Ру700, сталь 12Х18Н10Т, наружная M20х1,5 – внутренняя M20х1,5","")</f>
        <v/>
      </c>
    </row>
    <row r="159" spans="1:5" x14ac:dyDescent="0.25">
      <c r="E159" s="7" t="str">
        <f>IF(AND(B104="обычное",A5&lt;10),"Клапан запорный 15лс54бк Ду15 Ру400, сталь 09Г2С, наружная M20х1,5 – внутренняя M20х1,5","")</f>
        <v/>
      </c>
    </row>
    <row r="160" spans="1:5" x14ac:dyDescent="0.25">
      <c r="E160" s="7" t="str">
        <f>IF(AND(B104="обычное",A5&gt;9),"Вентиль ВПЭМ 5х700 Ду5 Ру700, сталь 09Г2С, наружная M20х1,5 – внутренняя M20х1,5","")</f>
        <v/>
      </c>
    </row>
    <row r="162" spans="1:5" x14ac:dyDescent="0.25">
      <c r="A162" s="48" t="s">
        <v>94</v>
      </c>
    </row>
    <row r="163" spans="1:5" x14ac:dyDescent="0.25">
      <c r="A163" s="7" t="b">
        <v>0</v>
      </c>
      <c r="B163" s="7"/>
      <c r="C163" s="7" t="str">
        <f>IF(A163,D163,"")</f>
        <v/>
      </c>
      <c r="D163" s="7" t="str">
        <f>IF(B104&lt;&gt;"коррозионностойкое К3 (по ГОСТ 13846-89)/«Астр» (по РТМ 311.001-90)",E163&amp;E164&amp;E165&amp;E166,"")</f>
        <v>Переходник УП-1</v>
      </c>
      <c r="E163" s="7" t="str">
        <f>IF(AND(A45&lt;3,A5&lt;10),"Переходник УП-1","")</f>
        <v>Переходник УП-1</v>
      </c>
    </row>
    <row r="164" spans="1:5" x14ac:dyDescent="0.25">
      <c r="E164" s="7" t="str">
        <f>IF(AND(A45&lt;3,A5&gt;9),"Переходник наруж. G1/2 - внутр. M20×1,5, нерж","")</f>
        <v/>
      </c>
    </row>
    <row r="165" spans="1:5" x14ac:dyDescent="0.25">
      <c r="E165" s="7" t="str">
        <f>IF(AND(A45&gt;2,A5&lt;10),"Переходник УП-1","")</f>
        <v/>
      </c>
    </row>
    <row r="166" spans="1:5" x14ac:dyDescent="0.25">
      <c r="E166" s="7" t="str">
        <f>IF(AND(A45&gt;2,A5&gt;9),"","")</f>
        <v/>
      </c>
    </row>
    <row r="168" spans="1:5" s="57" customFormat="1" x14ac:dyDescent="0.25">
      <c r="A168" s="75" t="s">
        <v>97</v>
      </c>
    </row>
    <row r="169" spans="1:5" s="57" customFormat="1" x14ac:dyDescent="0.25">
      <c r="A169" s="58" t="b">
        <v>0</v>
      </c>
      <c r="B169" s="58"/>
      <c r="C169" s="58" t="str">
        <f>IF(AND(A28=1,A5&lt;10,A169),"Адаптер термоманометрический","")</f>
        <v/>
      </c>
    </row>
    <row r="170" spans="1:5" x14ac:dyDescent="0.25">
      <c r="B170" s="36"/>
    </row>
    <row r="171" spans="1:5" x14ac:dyDescent="0.25">
      <c r="A171" s="50" t="s">
        <v>52</v>
      </c>
      <c r="B171" s="36"/>
    </row>
    <row r="172" spans="1:5" x14ac:dyDescent="0.25">
      <c r="A172" s="7" t="str">
        <f ca="1">"Манометр ""Автон"" ("&amp;C5&amp;C19&amp;C82&amp;C40&amp;C60&amp;C74&amp;C87&amp;C97&amp;C104&amp;C110&amp;C121&amp;C127&amp;C116&amp;")"</f>
        <v>Манометр "Автон" (16МПа, 0.25%, К2, M20х1.5, LoRa)</v>
      </c>
      <c r="B172" s="41"/>
      <c r="C172" s="7"/>
      <c r="D172" s="7"/>
      <c r="E172" s="7"/>
    </row>
    <row r="173" spans="1:5" x14ac:dyDescent="0.25">
      <c r="A173" s="9"/>
      <c r="B173" s="42"/>
      <c r="C173" s="9"/>
      <c r="D173" s="9"/>
      <c r="E173" s="9"/>
    </row>
    <row r="174" spans="1:5" x14ac:dyDescent="0.25">
      <c r="A174" s="50" t="s">
        <v>53</v>
      </c>
      <c r="B174" s="42"/>
      <c r="C174" s="9"/>
      <c r="D174" s="9"/>
      <c r="E174" s="9"/>
    </row>
    <row r="175" spans="1:5" x14ac:dyDescent="0.25">
      <c r="A175" s="7" t="str">
        <f ca="1">"Термоманометр A835 ("&amp;C5&amp;C19&amp;C45&amp;C54&amp;C61&amp;C75&amp;C87&amp;C104&amp;C110&amp;C117&amp;")"</f>
        <v>Термоманометр A835 (16МПа, 0.25%, -40..+85C, 2C, К2, M20х1.5, LoRaWAN)</v>
      </c>
      <c r="B175" s="41"/>
      <c r="C175" s="7"/>
      <c r="D175" s="7"/>
      <c r="E175" s="7"/>
    </row>
    <row r="176" spans="1:5" ht="15.75" customHeight="1" x14ac:dyDescent="0.25">
      <c r="A176" s="168" t="str">
        <f>C146</f>
        <v/>
      </c>
      <c r="B176" s="168"/>
      <c r="C176" s="168"/>
      <c r="D176" s="168"/>
      <c r="E176" s="168"/>
    </row>
    <row r="177" spans="1:5" x14ac:dyDescent="0.25">
      <c r="A177" s="168" t="str">
        <f>C151</f>
        <v/>
      </c>
      <c r="B177" s="168"/>
      <c r="C177" s="168"/>
      <c r="D177" s="168"/>
      <c r="E177" s="168"/>
    </row>
    <row r="178" spans="1:5" x14ac:dyDescent="0.25">
      <c r="A178" s="168" t="str">
        <f>C156</f>
        <v/>
      </c>
      <c r="B178" s="168"/>
      <c r="C178" s="168"/>
      <c r="D178" s="168"/>
      <c r="E178" s="168"/>
    </row>
    <row r="179" spans="1:5" x14ac:dyDescent="0.25">
      <c r="A179" s="168" t="str">
        <f>C163</f>
        <v/>
      </c>
      <c r="B179" s="168"/>
      <c r="C179" s="168"/>
      <c r="D179" s="168"/>
      <c r="E179" s="168"/>
    </row>
    <row r="182" spans="1:5" x14ac:dyDescent="0.25">
      <c r="B182" s="61" t="s">
        <v>105</v>
      </c>
      <c r="C182" s="62">
        <f ca="1">TODAY()</f>
        <v>45798</v>
      </c>
    </row>
    <row r="183" spans="1:5" x14ac:dyDescent="0.25">
      <c r="B183" s="63" t="s">
        <v>106</v>
      </c>
      <c r="C183" s="64">
        <v>45425</v>
      </c>
    </row>
    <row r="184" spans="1:5" x14ac:dyDescent="0.25">
      <c r="B184" s="61" t="s">
        <v>107</v>
      </c>
      <c r="C184" s="65" t="str">
        <f ca="1">IF(YEARFRAC(C183,C182)&gt;0.25,"Опросный лист мог устареть","Опросный лист достаточно свежий")</f>
        <v>Опросный лист мог устареть</v>
      </c>
    </row>
    <row r="186" spans="1:5" x14ac:dyDescent="0.25">
      <c r="B186" s="48" t="s">
        <v>109</v>
      </c>
    </row>
    <row r="187" spans="1:5" ht="13.5" customHeight="1" x14ac:dyDescent="0.25">
      <c r="B187" s="74">
        <v>45425</v>
      </c>
      <c r="C187" s="166" t="s">
        <v>113</v>
      </c>
      <c r="D187" s="166"/>
    </row>
    <row r="188" spans="1:5" x14ac:dyDescent="0.25">
      <c r="B188" s="74">
        <v>45457</v>
      </c>
      <c r="C188" s="166" t="s">
        <v>114</v>
      </c>
      <c r="D188" s="166"/>
    </row>
    <row r="189" spans="1:5" x14ac:dyDescent="0.25">
      <c r="B189" s="74">
        <v>45638</v>
      </c>
      <c r="C189" s="166" t="s">
        <v>115</v>
      </c>
      <c r="D189" s="166"/>
    </row>
    <row r="190" spans="1:5" x14ac:dyDescent="0.25">
      <c r="B190" s="74">
        <v>45777</v>
      </c>
      <c r="C190" s="166" t="s">
        <v>116</v>
      </c>
      <c r="D190" s="166"/>
    </row>
    <row r="191" spans="1:5" x14ac:dyDescent="0.25">
      <c r="B191" s="74">
        <v>45798</v>
      </c>
      <c r="C191" s="166" t="s">
        <v>118</v>
      </c>
      <c r="D191" s="166"/>
    </row>
    <row r="206" spans="1:2" x14ac:dyDescent="0.25">
      <c r="A206" s="34"/>
      <c r="B206" s="35"/>
    </row>
  </sheetData>
  <mergeCells count="10">
    <mergeCell ref="C191:D191"/>
    <mergeCell ref="C190:D190"/>
    <mergeCell ref="C189:D189"/>
    <mergeCell ref="C188:D188"/>
    <mergeCell ref="C187:D187"/>
    <mergeCell ref="A1:B1"/>
    <mergeCell ref="A176:E176"/>
    <mergeCell ref="A177:E177"/>
    <mergeCell ref="A178:E178"/>
    <mergeCell ref="A179:E179"/>
  </mergeCells>
  <pageMargins left="0.7" right="0.7" top="0.75" bottom="0.75" header="0.3" footer="0.3"/>
  <pageSetup paperSize="9" orientation="portrait" horizontalDpi="4294967292" verticalDpi="1200" r:id="rId1"/>
  <tableParts count="2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2"/>
  <sheetViews>
    <sheetView zoomScaleNormal="100" workbookViewId="0">
      <selection activeCell="K6" sqref="K6"/>
    </sheetView>
  </sheetViews>
  <sheetFormatPr defaultRowHeight="12.75" x14ac:dyDescent="0.2"/>
  <cols>
    <col min="1" max="1" width="5.28515625" customWidth="1"/>
    <col min="2" max="2" width="3.85546875" customWidth="1"/>
    <col min="3" max="3" width="38.42578125" customWidth="1"/>
    <col min="4" max="4" width="2.7109375" customWidth="1"/>
    <col min="5" max="5" width="48.7109375" customWidth="1"/>
    <col min="6" max="6" width="8.85546875" customWidth="1"/>
  </cols>
  <sheetData>
    <row r="1" spans="1:9" ht="18" x14ac:dyDescent="0.2">
      <c r="A1" s="13" t="s">
        <v>31</v>
      </c>
      <c r="B1" s="12"/>
      <c r="C1" s="12"/>
      <c r="D1" s="12"/>
      <c r="E1" s="12"/>
    </row>
    <row r="2" spans="1:9" ht="18" x14ac:dyDescent="0.2">
      <c r="A2" s="13"/>
      <c r="B2" s="12"/>
      <c r="C2" s="12"/>
      <c r="D2" s="12"/>
      <c r="E2" s="12"/>
    </row>
    <row r="3" spans="1:9" ht="24.75" customHeight="1" x14ac:dyDescent="0.2">
      <c r="A3" s="12"/>
      <c r="B3" s="170" t="s">
        <v>69</v>
      </c>
      <c r="C3" s="170"/>
      <c r="D3" s="170"/>
      <c r="E3" s="170"/>
      <c r="I3" s="11"/>
    </row>
    <row r="4" spans="1:9" ht="21.75" customHeight="1" x14ac:dyDescent="0.2">
      <c r="A4" s="12"/>
      <c r="B4" s="52" t="s">
        <v>91</v>
      </c>
      <c r="C4" s="12"/>
      <c r="D4" s="12"/>
      <c r="E4" s="12"/>
    </row>
    <row r="5" spans="1:9" x14ac:dyDescent="0.2">
      <c r="A5" s="12"/>
      <c r="B5" s="12"/>
      <c r="C5" s="53" t="s">
        <v>103</v>
      </c>
      <c r="D5" s="53"/>
      <c r="E5" s="53" t="s">
        <v>104</v>
      </c>
    </row>
    <row r="6" spans="1:9" ht="234.75" customHeight="1" x14ac:dyDescent="0.2">
      <c r="A6" s="12"/>
      <c r="B6" s="12"/>
      <c r="C6" s="53"/>
      <c r="D6" s="53"/>
      <c r="E6" s="53"/>
    </row>
    <row r="7" spans="1:9" ht="19.5" customHeight="1" x14ac:dyDescent="0.25">
      <c r="A7" s="12"/>
      <c r="B7" s="54" t="s">
        <v>100</v>
      </c>
      <c r="C7" s="12"/>
      <c r="D7" s="12"/>
      <c r="E7" s="12"/>
    </row>
    <row r="8" spans="1:9" ht="237.75" customHeight="1" x14ac:dyDescent="0.2">
      <c r="A8" s="12"/>
      <c r="B8" s="12"/>
      <c r="C8" s="169"/>
      <c r="D8" s="169"/>
      <c r="E8" s="169"/>
    </row>
    <row r="9" spans="1:9" ht="15.75" x14ac:dyDescent="0.25">
      <c r="A9" s="12"/>
      <c r="B9" s="54" t="s">
        <v>101</v>
      </c>
      <c r="C9" s="12"/>
      <c r="D9" s="12"/>
      <c r="E9" s="12"/>
    </row>
    <row r="10" spans="1:9" ht="206.25" customHeight="1" x14ac:dyDescent="0.2">
      <c r="A10" s="12"/>
      <c r="B10" s="12"/>
      <c r="C10" s="169"/>
      <c r="D10" s="169"/>
      <c r="E10" s="169"/>
    </row>
    <row r="11" spans="1:9" ht="15.75" x14ac:dyDescent="0.25">
      <c r="A11" s="12"/>
      <c r="B11" s="54" t="s">
        <v>102</v>
      </c>
      <c r="C11" s="12"/>
      <c r="D11" s="12"/>
      <c r="E11" s="12"/>
    </row>
    <row r="12" spans="1:9" ht="151.5" customHeight="1" x14ac:dyDescent="0.2">
      <c r="A12" s="12"/>
      <c r="B12" s="12"/>
      <c r="C12" s="169"/>
      <c r="D12" s="169"/>
      <c r="E12" s="169"/>
    </row>
  </sheetData>
  <mergeCells count="4">
    <mergeCell ref="C12:E12"/>
    <mergeCell ref="C10:E10"/>
    <mergeCell ref="C8:E8"/>
    <mergeCell ref="B3:E3"/>
  </mergeCells>
  <pageMargins left="0.70866141732283472" right="0.70866141732283472" top="0.39370078740157483" bottom="0.74803149606299213" header="0.31496062992125984" footer="0.31496062992125984"/>
  <pageSetup paperSize="9" scale="90" fitToHeight="4" orientation="portrait" horizontalDpi="4294967292" verticalDpi="1200" r:id="rId1"/>
  <rowBreaks count="1" manualBreakCount="1">
    <brk id="6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Опросный лист термоманометр</vt:lpstr>
      <vt:lpstr>Лист1</vt:lpstr>
      <vt:lpstr>Справка</vt:lpstr>
      <vt:lpstr>Дополнительная_комплектация</vt:lpstr>
      <vt:lpstr>'Опросный лист термоманометр'!Область_печати</vt:lpstr>
      <vt:lpstr>Справка!Область_печати</vt:lpstr>
    </vt:vector>
  </TitlesOfParts>
  <Company>нефтегаз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Кукина Ольга</cp:lastModifiedBy>
  <cp:lastPrinted>2024-05-13T11:56:23Z</cp:lastPrinted>
  <dcterms:created xsi:type="dcterms:W3CDTF">2008-11-24T06:26:29Z</dcterms:created>
  <dcterms:modified xsi:type="dcterms:W3CDTF">2025-05-21T11:04:50Z</dcterms:modified>
</cp:coreProperties>
</file>