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480" yWindow="510" windowWidth="13275" windowHeight="9765"/>
  </bookViews>
  <sheets>
    <sheet name="Опросный лист дальномер" sheetId="2" r:id="rId1"/>
    <sheet name="Лист1" sheetId="4" state="hidden" r:id="rId2"/>
    <sheet name="Справка" sheetId="5" r:id="rId3"/>
  </sheets>
  <externalReferences>
    <externalReference r:id="rId4"/>
  </externalReferences>
  <definedNames>
    <definedName name="Test" localSheetId="1">#REF!</definedName>
    <definedName name="Test">#REF!</definedName>
    <definedName name="Арматура">'[1]Опросный лист термоманометр'!$L$94:$L$99</definedName>
    <definedName name="Без_пустых" localSheetId="1">IFERROR(INDEX(#REF!,SMALL(IF(#REF!&lt;&gt;#REF!,ROW(INDIRECT("1:"&amp;ROWS(#REF!))),""),ROW(INDIRECT("1:"&amp;ROWS(#REF!))))),"")</definedName>
    <definedName name="Без_пустых">IFERROR(INDEX(#REF!,SMALL(IF(#REF!&lt;&gt;#REF!,ROW(INDIRECT("1:"&amp;ROWS(#REF!))),""),ROW(INDIRECT("1:"&amp;ROWS(#REF!))))),"")</definedName>
    <definedName name="Без_пустых1" localSheetId="1">IFERROR(VLOOKUP(ROW(#REF!),#REF!,2,0),"")</definedName>
    <definedName name="Без_пустых1">IFERROR(VLOOKUP(ROW(#REF!),#REF!,2,0),"")</definedName>
    <definedName name="Гильза">OFFSET('[1]Опросный лист термоманометр'!$L$75:$N$78,0,'[1]Опросный лист термоманометр'!$I$24-1,,1)</definedName>
    <definedName name="Давление_ВПИ">'[1]Опросный лист термоманометр'!$L$4:$L$15</definedName>
    <definedName name="Давление_Погрешность">'[1]Опросный лист термоманометр'!$L$17:$L$22</definedName>
    <definedName name="Исполнение">'[1]Опросный лист термоманометр'!$L$87:$L$88</definedName>
    <definedName name="Кабель_Длина">OFFSET('[1]Опросный лист термоманометр'!$L$61:$N$69,0,'[1]Опросный лист термоманометр'!$I$24-1,,1)</definedName>
    <definedName name="Кабель_Защита">OFFSET('[1]Опросный лист термоманометр'!$L$71:$N$73,0,'[1]Опросный лист термоманометр'!$I$24-1,,1)</definedName>
    <definedName name="Кабель_Подключение">OFFSET('[1]Опросный лист термоманометр'!$L$57:$N$59,0,'[1]Опросный лист термоманометр'!$I$24-1,,1)</definedName>
    <definedName name="Конструктивное_исполнение" localSheetId="1">Лист1!#REF!</definedName>
    <definedName name="Конструктивное_исполнение">'Опросный лист дальномер'!#REF!</definedName>
    <definedName name="_xlnm.Print_Area" localSheetId="1">Лист1!#REF!</definedName>
    <definedName name="_xlnm.Print_Area" localSheetId="0">'Опросный лист дальномер'!$A$2:$I$39</definedName>
    <definedName name="Поверка">'[1]Опросный лист термоманометр'!$L$101:$L$102</definedName>
    <definedName name="Резьба">'[1]Опросный лист термоманометр'!$L$90:$L$92</definedName>
    <definedName name="С_креплением_магнитным">Справка!$B$4</definedName>
    <definedName name="Способ_подключения_кабеля_к_термощупу" localSheetId="1">#REF!</definedName>
    <definedName name="Способ_подключения_кабеля_к_термощупу">#REF!</definedName>
    <definedName name="Способы_крепления_термощупа" localSheetId="1">#REF!</definedName>
    <definedName name="Способы_крепления_термощупа">#REF!</definedName>
    <definedName name="Температура_Диапазон" localSheetId="1">Лист1!#REF!</definedName>
    <definedName name="Температура_Диапазон">'Опросный лист дальномер'!#REF!</definedName>
    <definedName name="Температура_Место">'[1]Опросный лист термоманометр'!$L$25:$L$27</definedName>
    <definedName name="Температура_Погрешность">OFFSET('[1]Опросный лист термоманометр'!$L$36:$N$38,0,'[1]Опросный лист термоманометр'!$I$24-1,,1)</definedName>
    <definedName name="Хранение_передача">'[1]Опросный лист термоманометр'!$L$80:$L$81</definedName>
    <definedName name="Щуп_Диаметр">OFFSET('[1]Опросный лист термоманометр'!$L$45:$N$49,0,'[1]Опросный лист термоманометр'!$I$24-1,,1)</definedName>
    <definedName name="Щуп_Длина">OFFSET('[1]Опросный лист термоманометр'!$L$40:$N$43,0,'[1]Опросный лист термоманометр'!$I$24-1,,1)</definedName>
    <definedName name="Щуп_Крепление">OFFSET('[1]Опросный лист термоманометр'!$L$51:$N$55,0,'[1]Опросный лист термоманометр'!$I$24-1,,1)</definedName>
  </definedNames>
  <calcPr calcId="145621"/>
</workbook>
</file>

<file path=xl/calcChain.xml><?xml version="1.0" encoding="utf-8"?>
<calcChain xmlns="http://schemas.openxmlformats.org/spreadsheetml/2006/main">
  <c r="B10" i="2" l="1"/>
  <c r="E31" i="4"/>
  <c r="E30" i="4"/>
  <c r="E29" i="4"/>
  <c r="D31" i="4"/>
  <c r="D30" i="4"/>
  <c r="D29" i="4"/>
  <c r="D25" i="4"/>
  <c r="B8" i="2"/>
  <c r="E25" i="4"/>
  <c r="E24" i="4"/>
  <c r="D24" i="4"/>
  <c r="E26" i="4"/>
  <c r="D26" i="4"/>
  <c r="B23" i="4" l="1"/>
  <c r="C23" i="4" s="1"/>
  <c r="E42" i="4"/>
  <c r="E41" i="4"/>
  <c r="C38" i="2" l="1"/>
  <c r="E20" i="4" l="1"/>
  <c r="E19" i="4"/>
  <c r="E18" i="4"/>
  <c r="E17" i="4"/>
  <c r="E16" i="4"/>
  <c r="E15" i="4"/>
  <c r="E14" i="4"/>
  <c r="E47" i="4" l="1"/>
  <c r="E48" i="4"/>
  <c r="E49" i="4"/>
  <c r="E50" i="4"/>
  <c r="E51" i="4"/>
  <c r="E52" i="4"/>
  <c r="E53" i="4"/>
  <c r="D53" i="4"/>
  <c r="D52" i="4"/>
  <c r="D51" i="4"/>
  <c r="D50" i="4"/>
  <c r="D49" i="4"/>
  <c r="D48" i="4"/>
  <c r="D47" i="4"/>
  <c r="B16" i="2"/>
  <c r="B14" i="2"/>
  <c r="B6" i="2"/>
  <c r="E43" i="4"/>
  <c r="E40" i="4"/>
  <c r="D40" i="4"/>
  <c r="D41" i="4"/>
  <c r="D42" i="4"/>
  <c r="D43" i="4"/>
  <c r="D15" i="4"/>
  <c r="D16" i="4"/>
  <c r="D17" i="4"/>
  <c r="D18" i="4"/>
  <c r="D19" i="4"/>
  <c r="D20" i="4"/>
  <c r="D14" i="4"/>
  <c r="B4" i="4"/>
  <c r="B46" i="4" l="1"/>
  <c r="C46" i="4"/>
  <c r="C47" i="4" s="1"/>
  <c r="B34" i="4"/>
  <c r="A66" i="4" l="1"/>
  <c r="C36" i="2" s="1"/>
  <c r="C17" i="2"/>
  <c r="B56" i="4"/>
  <c r="C56" i="4" s="1"/>
  <c r="B8" i="4" l="1"/>
  <c r="C8" i="4" s="1"/>
  <c r="A60" i="4" s="1"/>
  <c r="C34" i="4" l="1"/>
  <c r="B39" i="4"/>
  <c r="C39" i="4" l="1"/>
  <c r="A65" i="4" s="1"/>
  <c r="C35" i="2" s="1"/>
  <c r="C4" i="4"/>
  <c r="B28" i="4" l="1"/>
  <c r="C28" i="4" s="1"/>
  <c r="B13" i="4"/>
  <c r="C13" i="4" s="1"/>
  <c r="A62" i="4" l="1"/>
  <c r="C33" i="2" s="1"/>
</calcChain>
</file>

<file path=xl/sharedStrings.xml><?xml version="1.0" encoding="utf-8"?>
<sst xmlns="http://schemas.openxmlformats.org/spreadsheetml/2006/main" count="82" uniqueCount="60">
  <si>
    <t>Информацию подготовил:</t>
  </si>
  <si>
    <t>Фамилия, Имя, Отчество</t>
  </si>
  <si>
    <t>Компания</t>
  </si>
  <si>
    <t>Почтовый адрес</t>
  </si>
  <si>
    <t>Телефон/Факс</t>
  </si>
  <si>
    <t>Количество, шт</t>
  </si>
  <si>
    <t>Дополнительные требования</t>
  </si>
  <si>
    <t>Если выбрано "другое", то впишите значение</t>
  </si>
  <si>
    <t>Код для заказа</t>
  </si>
  <si>
    <t>не требуется</t>
  </si>
  <si>
    <t>Защита кабеля</t>
  </si>
  <si>
    <t>Выбранный вариант</t>
  </si>
  <si>
    <t>В спецификацию</t>
  </si>
  <si>
    <t/>
  </si>
  <si>
    <t>требуется</t>
  </si>
  <si>
    <t>Опции</t>
  </si>
  <si>
    <t>Столбец1</t>
  </si>
  <si>
    <t>Столбец2</t>
  </si>
  <si>
    <t>Одна</t>
  </si>
  <si>
    <t>Комплектация:</t>
  </si>
  <si>
    <t>Передача данных</t>
  </si>
  <si>
    <t>LoRaWAN + Bluetooth Low Energy</t>
  </si>
  <si>
    <t>NB-IoT + Bluetooth Low Energy</t>
  </si>
  <si>
    <t>Дополнительная комплектация</t>
  </si>
  <si>
    <t>Длина кабеля</t>
  </si>
  <si>
    <t>Свидетельство о поверке</t>
  </si>
  <si>
    <t>, П</t>
  </si>
  <si>
    <t>Крепление</t>
  </si>
  <si>
    <t>Варианты креплений</t>
  </si>
  <si>
    <t xml:space="preserve">Опросный лист на Дальномер-уровнемер "Автон" </t>
  </si>
  <si>
    <t>Конструктивное исполнение</t>
  </si>
  <si>
    <t>Верхний предел диапазона измерения уровня, м</t>
  </si>
  <si>
    <t>10м</t>
  </si>
  <si>
    <t>с выносным датчиком</t>
  </si>
  <si>
    <t>моноблочное исполнение</t>
  </si>
  <si>
    <t xml:space="preserve"> моноблочный</t>
  </si>
  <si>
    <t>Переход фланцевый</t>
  </si>
  <si>
    <t>Моноблочное</t>
  </si>
  <si>
    <t>С выносным датчиком</t>
  </si>
  <si>
    <t xml:space="preserve"> "Автон"</t>
  </si>
  <si>
    <t>История изменений:</t>
  </si>
  <si>
    <t>14.06.2024:</t>
  </si>
  <si>
    <t>Добавила версию на первую страницу.</t>
  </si>
  <si>
    <t>12.09.2024:</t>
  </si>
  <si>
    <t>Убрала выбор диапазона измерения.</t>
  </si>
  <si>
    <t>LoRa</t>
  </si>
  <si>
    <t>NB-IoT</t>
  </si>
  <si>
    <t>11.12.2024:</t>
  </si>
  <si>
    <t>Убрала элементы ActiveX.</t>
  </si>
  <si>
    <t>22.01.2025:</t>
  </si>
  <si>
    <t xml:space="preserve">Заменила информацию о кронштейнах в связи с переходом на корпус из поликарбоната. </t>
  </si>
  <si>
    <t>Кронштейн в сборе</t>
  </si>
  <si>
    <t>Крепление магнитное</t>
  </si>
  <si>
    <t>29.04.2025:</t>
  </si>
  <si>
    <t>Сжатие рисунков.</t>
  </si>
  <si>
    <t>Версия: 20.05.2025</t>
  </si>
  <si>
    <t>С креплением магнитным</t>
  </si>
  <si>
    <t>20.05.2025:</t>
  </si>
  <si>
    <t>Добавила исполнение дальномера-уровнемера с преобразователем на кабеле с креплением магнитным.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</si>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</sst>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i/>
      <u/>
      <sz val="10"/>
      <color theme="9" tint="-0.249977111117893"/>
      <name val="Arial"/>
      <family val="2"/>
      <charset val="204"/>
    </font>
    <font>
      <b/>
      <sz val="12"/>
      <color rgb="FF1E1E1E"/>
      <name val="Segoe U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b/>
      <i/>
      <u/>
      <sz val="10"/>
      <color theme="0"/>
      <name val="Arial"/>
      <family val="2"/>
      <charset val="204"/>
    </font>
    <font>
      <b/>
      <sz val="14"/>
      <name val="Arial Cyr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6"/>
      <color rgb="FF00B050"/>
      <name val="Arial Cyr"/>
      <charset val="204"/>
    </font>
    <font>
      <u/>
      <sz val="10"/>
      <color theme="10"/>
      <name val="Arial Cyr"/>
      <charset val="204"/>
    </font>
    <font>
      <b/>
      <sz val="12"/>
      <color theme="0" tint="-0.249977111117893"/>
      <name val="Calibri"/>
      <family val="2"/>
      <charset val="204"/>
      <scheme val="minor"/>
    </font>
    <font>
      <sz val="12"/>
      <color theme="0" tint="-0.249977111117893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0"/>
      <color theme="0" tint="-0.249977111117893"/>
      <name val="Arial Cyr"/>
      <charset val="204"/>
    </font>
    <font>
      <sz val="10"/>
      <color theme="0" tint="-0.249977111117893"/>
      <name val="Arial Cyr"/>
      <charset val="204"/>
    </font>
    <font>
      <b/>
      <sz val="14"/>
      <color rgb="FF00B05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499984740745262"/>
      </left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2" fillId="0" borderId="17">
      <alignment horizontal="left" vertical="center"/>
      <protection locked="0"/>
    </xf>
  </cellStyleXfs>
  <cellXfs count="99">
    <xf numFmtId="0" fontId="0" fillId="0" borderId="0" xfId="0"/>
    <xf numFmtId="0" fontId="2" fillId="0" borderId="0" xfId="0" applyFont="1"/>
    <xf numFmtId="0" fontId="0" fillId="2" borderId="0" xfId="0" applyFill="1"/>
    <xf numFmtId="2" fontId="0" fillId="0" borderId="0" xfId="0" applyNumberFormat="1"/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NumberFormat="1"/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5" borderId="0" xfId="0" applyFont="1" applyFill="1"/>
    <xf numFmtId="0" fontId="0" fillId="0" borderId="0" xfId="0" quotePrefix="1"/>
    <xf numFmtId="0" fontId="0" fillId="5" borderId="0" xfId="0" applyFill="1"/>
    <xf numFmtId="0" fontId="0" fillId="5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quotePrefix="1" applyBorder="1"/>
    <xf numFmtId="0" fontId="0" fillId="0" borderId="0" xfId="0" applyBorder="1"/>
    <xf numFmtId="0" fontId="0" fillId="0" borderId="0" xfId="0" quotePrefix="1" applyBorder="1"/>
    <xf numFmtId="0" fontId="9" fillId="0" borderId="0" xfId="0" applyFont="1" applyBorder="1" applyAlignment="1">
      <alignment horizontal="left"/>
    </xf>
    <xf numFmtId="0" fontId="10" fillId="0" borderId="0" xfId="0" applyFont="1"/>
    <xf numFmtId="0" fontId="0" fillId="0" borderId="4" xfId="0" applyBorder="1"/>
    <xf numFmtId="0" fontId="8" fillId="0" borderId="4" xfId="0" applyFont="1" applyBorder="1" applyAlignment="1">
      <alignment vertical="center"/>
    </xf>
    <xf numFmtId="0" fontId="0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0" fillId="0" borderId="6" xfId="0" applyFill="1" applyBorder="1"/>
    <xf numFmtId="0" fontId="0" fillId="0" borderId="7" xfId="0" applyBorder="1"/>
    <xf numFmtId="0" fontId="0" fillId="3" borderId="5" xfId="0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10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1" fillId="0" borderId="0" xfId="0" applyFont="1" applyAlignme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16" fillId="3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right" vertical="top" wrapText="1"/>
    </xf>
    <xf numFmtId="0" fontId="16" fillId="0" borderId="0" xfId="0" quotePrefix="1" applyFont="1" applyAlignment="1">
      <alignment horizontal="left"/>
    </xf>
    <xf numFmtId="0" fontId="0" fillId="0" borderId="4" xfId="0" applyBorder="1" applyProtection="1">
      <protection hidden="1"/>
    </xf>
    <xf numFmtId="0" fontId="2" fillId="0" borderId="4" xfId="0" applyFont="1" applyBorder="1" applyAlignment="1" applyProtection="1">
      <protection hidden="1"/>
    </xf>
    <xf numFmtId="0" fontId="2" fillId="0" borderId="4" xfId="0" applyFont="1" applyBorder="1" applyProtection="1">
      <protection hidden="1"/>
    </xf>
    <xf numFmtId="0" fontId="13" fillId="0" borderId="4" xfId="1" applyFont="1" applyBorder="1" applyProtection="1">
      <protection hidden="1"/>
    </xf>
    <xf numFmtId="0" fontId="2" fillId="0" borderId="4" xfId="0" applyFont="1" applyBorder="1" applyAlignment="1" applyProtection="1">
      <alignment vertical="top"/>
      <protection hidden="1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6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right"/>
    </xf>
    <xf numFmtId="0" fontId="0" fillId="0" borderId="0" xfId="0" applyAlignment="1">
      <alignment horizontal="left"/>
    </xf>
    <xf numFmtId="0" fontId="18" fillId="6" borderId="14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4" xfId="0" applyFont="1" applyBorder="1" applyProtection="1">
      <protection locked="0" hidden="1"/>
    </xf>
    <xf numFmtId="0" fontId="17" fillId="0" borderId="6" xfId="0" applyFont="1" applyBorder="1" applyAlignment="1" applyProtection="1">
      <alignment horizontal="left" vertical="top" wrapText="1"/>
      <protection hidden="1"/>
    </xf>
    <xf numFmtId="0" fontId="5" fillId="0" borderId="16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6" xfId="0" applyFont="1" applyBorder="1"/>
    <xf numFmtId="0" fontId="6" fillId="0" borderId="7" xfId="0" applyFont="1" applyBorder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7" xfId="2">
      <alignment horizontal="left" vertical="center"/>
      <protection locked="0"/>
    </xf>
    <xf numFmtId="0" fontId="5" fillId="0" borderId="0" xfId="0" applyFont="1" applyBorder="1" applyProtection="1">
      <protection locked="0"/>
    </xf>
    <xf numFmtId="0" fontId="10" fillId="0" borderId="0" xfId="0" applyNumberFormat="1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16" fillId="5" borderId="0" xfId="0" applyFont="1" applyFill="1"/>
    <xf numFmtId="0" fontId="16" fillId="0" borderId="0" xfId="0" applyFont="1"/>
    <xf numFmtId="0" fontId="21" fillId="0" borderId="4" xfId="1" applyFont="1" applyBorder="1" applyAlignment="1" applyProtection="1">
      <alignment horizontal="left"/>
      <protection hidden="1"/>
    </xf>
    <xf numFmtId="0" fontId="2" fillId="0" borderId="17" xfId="2">
      <alignment horizontal="left" vertical="center"/>
      <protection locked="0"/>
    </xf>
    <xf numFmtId="0" fontId="2" fillId="4" borderId="21" xfId="0" applyFont="1" applyFill="1" applyBorder="1" applyAlignment="1" applyProtection="1">
      <alignment horizontal="left" vertical="top"/>
      <protection hidden="1"/>
    </xf>
    <xf numFmtId="0" fontId="2" fillId="4" borderId="0" xfId="0" applyFont="1" applyFill="1" applyBorder="1" applyAlignment="1" applyProtection="1">
      <alignment horizontal="left" vertical="top"/>
      <protection hidden="1"/>
    </xf>
    <xf numFmtId="0" fontId="2" fillId="4" borderId="21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left" vertical="top" wrapText="1"/>
      <protection hidden="1"/>
    </xf>
    <xf numFmtId="0" fontId="2" fillId="0" borderId="14" xfId="0" applyFont="1" applyBorder="1" applyAlignment="1">
      <alignment horizontal="center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15" xfId="0" applyFont="1" applyBorder="1" applyAlignment="1" applyProtection="1">
      <alignment horizontal="left" vertical="top" wrapText="1"/>
      <protection hidden="1"/>
    </xf>
    <xf numFmtId="0" fontId="17" fillId="0" borderId="6" xfId="0" applyFont="1" applyBorder="1" applyAlignment="1" applyProtection="1">
      <alignment horizontal="left" vertical="top" wrapText="1"/>
      <protection hidden="1"/>
    </xf>
    <xf numFmtId="0" fontId="2" fillId="0" borderId="18" xfId="2" applyBorder="1" applyAlignment="1">
      <alignment horizontal="left" vertical="top"/>
      <protection locked="0"/>
    </xf>
    <xf numFmtId="0" fontId="2" fillId="0" borderId="19" xfId="2" applyBorder="1" applyAlignment="1">
      <alignment horizontal="left" vertical="top"/>
      <protection locked="0"/>
    </xf>
    <xf numFmtId="0" fontId="2" fillId="0" borderId="20" xfId="2" applyBorder="1" applyAlignment="1">
      <alignment horizontal="left" vertical="top"/>
      <protection locked="0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Гиперссылка" xfId="1" builtinId="8"/>
    <cellStyle name="Обычный" xfId="0" builtinId="0"/>
    <cellStyle name="Поле ввода" xfId="2"/>
  </cellStyles>
  <dxfs count="19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numFmt numFmtId="0" formatCode="General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theme="0" tint="-0.249977111117893"/>
      </font>
    </dxf>
    <dxf>
      <font>
        <strike val="0"/>
        <outline val="0"/>
        <shadow val="0"/>
        <u val="none"/>
        <vertAlign val="baseline"/>
        <color theme="0" tint="-0.249977111117893"/>
      </font>
    </dxf>
    <dxf>
      <font>
        <strike val="0"/>
        <outline val="0"/>
        <shadow val="0"/>
        <u val="none"/>
        <vertAlign val="baseline"/>
        <color theme="0" tint="-0.249977111117893"/>
      </font>
    </dxf>
    <dxf>
      <font>
        <strike val="0"/>
        <outline val="0"/>
        <shadow val="0"/>
        <u val="none"/>
        <vertAlign val="baseline"/>
        <color theme="0" tint="-0.24997711111789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10" dropStyle="combo" dx="16" fmlaLink="Лист1!$A$13" fmlaRange="Лист1!$D$14:$D$20" noThreeD="1" val="0"/>
</file>

<file path=xl/ctrlProps/ctrlProp2.xml><?xml version="1.0" encoding="utf-8"?>
<formControlPr xmlns="http://schemas.microsoft.com/office/spreadsheetml/2009/9/main" objectType="Drop" dropStyle="combo" dx="16" fmlaLink="Лист1!$A$28" fmlaRange="Лист1!$D$29:$D$31" noThreeD="1" val="0"/>
</file>

<file path=xl/ctrlProps/ctrlProp3.xml><?xml version="1.0" encoding="utf-8"?>
<formControlPr xmlns="http://schemas.microsoft.com/office/spreadsheetml/2009/9/main" objectType="Drop" dropStyle="combo" dx="16" fmlaLink="Лист1!$A$39" fmlaRange="Лист1!$D$40:$D$43" noThreeD="1" val="0"/>
</file>

<file path=xl/ctrlProps/ctrlProp4.xml><?xml version="1.0" encoding="utf-8"?>
<formControlPr xmlns="http://schemas.microsoft.com/office/spreadsheetml/2009/9/main" objectType="Drop" dropLines="10" dropStyle="combo" dx="16" fmlaLink="Лист1!$A$34" fmlaRange="Лист1!$D$35:$D$36" noThreeD="1" val="0"/>
</file>

<file path=xl/ctrlProps/ctrlProp5.xml><?xml version="1.0" encoding="utf-8"?>
<formControlPr xmlns="http://schemas.microsoft.com/office/spreadsheetml/2009/9/main" objectType="Drop" dropLines="10" dropStyle="combo" dx="16" fmlaLink="Лист1!$A$8" fmlaRange="Лист1!$D$9:$D$10" noThreeD="1" val="0"/>
</file>

<file path=xl/ctrlProps/ctrlProp6.xml><?xml version="1.0" encoding="utf-8"?>
<formControlPr xmlns="http://schemas.microsoft.com/office/spreadsheetml/2009/9/main" objectType="Drop" dropStyle="combo" dx="16" fmlaLink="Лист1!$A$46" fmlaRange="Лист1!$D$47:$D$53" noThreeD="1" val="0"/>
</file>

<file path=xl/ctrlProps/ctrlProp7.xml><?xml version="1.0" encoding="utf-8"?>
<formControlPr xmlns="http://schemas.microsoft.com/office/spreadsheetml/2009/9/main" objectType="Drop" dropLines="10" dropStyle="combo" dx="16" fmlaLink="Лист1!$A$23" fmlaRange="Лист1!$D$24:$D$25" noThreeD="1" val="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28575</xdr:rowOff>
        </xdr:from>
        <xdr:to>
          <xdr:col>7</xdr:col>
          <xdr:colOff>19050</xdr:colOff>
          <xdr:row>5</xdr:row>
          <xdr:rowOff>295275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19050</xdr:rowOff>
        </xdr:from>
        <xdr:to>
          <xdr:col>7</xdr:col>
          <xdr:colOff>19050</xdr:colOff>
          <xdr:row>9</xdr:row>
          <xdr:rowOff>276225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28575</xdr:rowOff>
        </xdr:from>
        <xdr:to>
          <xdr:col>7</xdr:col>
          <xdr:colOff>19050</xdr:colOff>
          <xdr:row>13</xdr:row>
          <xdr:rowOff>285750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28575</xdr:rowOff>
        </xdr:from>
        <xdr:to>
          <xdr:col>7</xdr:col>
          <xdr:colOff>19050</xdr:colOff>
          <xdr:row>11</xdr:row>
          <xdr:rowOff>295275</xdr:rowOff>
        </xdr:to>
        <xdr:sp macro="" textlink="">
          <xdr:nvSpPr>
            <xdr:cNvPr id="2152" name="Drop Down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19050</xdr:rowOff>
        </xdr:from>
        <xdr:to>
          <xdr:col>7</xdr:col>
          <xdr:colOff>19050</xdr:colOff>
          <xdr:row>3</xdr:row>
          <xdr:rowOff>285750</xdr:rowOff>
        </xdr:to>
        <xdr:sp macro="" textlink="">
          <xdr:nvSpPr>
            <xdr:cNvPr id="2154" name="Drop Down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28575</xdr:rowOff>
        </xdr:from>
        <xdr:to>
          <xdr:col>7</xdr:col>
          <xdr:colOff>19050</xdr:colOff>
          <xdr:row>15</xdr:row>
          <xdr:rowOff>285750</xdr:rowOff>
        </xdr:to>
        <xdr:sp macro="" textlink="">
          <xdr:nvSpPr>
            <xdr:cNvPr id="2160" name="Drop Down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28575</xdr:rowOff>
        </xdr:from>
        <xdr:to>
          <xdr:col>7</xdr:col>
          <xdr:colOff>19050</xdr:colOff>
          <xdr:row>7</xdr:row>
          <xdr:rowOff>295275</xdr:rowOff>
        </xdr:to>
        <xdr:sp macro="" textlink="">
          <xdr:nvSpPr>
            <xdr:cNvPr id="2161" name="Drop Down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28576</xdr:rowOff>
    </xdr:from>
    <xdr:to>
      <xdr:col>1</xdr:col>
      <xdr:colOff>2169502</xdr:colOff>
      <xdr:row>2</xdr:row>
      <xdr:rowOff>2409826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42926"/>
          <a:ext cx="2007577" cy="23812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2</xdr:row>
      <xdr:rowOff>180975</xdr:rowOff>
    </xdr:from>
    <xdr:to>
      <xdr:col>2</xdr:col>
      <xdr:colOff>3600450</xdr:colOff>
      <xdr:row>2</xdr:row>
      <xdr:rowOff>1953708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38426" y="695325"/>
          <a:ext cx="3562349" cy="1772733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7</xdr:row>
      <xdr:rowOff>219074</xdr:rowOff>
    </xdr:from>
    <xdr:to>
      <xdr:col>2</xdr:col>
      <xdr:colOff>2409748</xdr:colOff>
      <xdr:row>7</xdr:row>
      <xdr:rowOff>1817167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47951" y="7781924"/>
          <a:ext cx="2362122" cy="159809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</xdr:row>
      <xdr:rowOff>66675</xdr:rowOff>
    </xdr:from>
    <xdr:to>
      <xdr:col>1</xdr:col>
      <xdr:colOff>2266516</xdr:colOff>
      <xdr:row>7</xdr:row>
      <xdr:rowOff>1881243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" y="7629525"/>
          <a:ext cx="2228416" cy="181456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371473</xdr:colOff>
      <xdr:row>7</xdr:row>
      <xdr:rowOff>1952625</xdr:rowOff>
    </xdr:from>
    <xdr:to>
      <xdr:col>1</xdr:col>
      <xdr:colOff>1821656</xdr:colOff>
      <xdr:row>7</xdr:row>
      <xdr:rowOff>5082185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798" y="9515475"/>
          <a:ext cx="1450183" cy="3129560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638174</xdr:colOff>
      <xdr:row>7</xdr:row>
      <xdr:rowOff>1952626</xdr:rowOff>
    </xdr:from>
    <xdr:to>
      <xdr:col>2</xdr:col>
      <xdr:colOff>2438400</xdr:colOff>
      <xdr:row>7</xdr:row>
      <xdr:rowOff>5082187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499" y="9515476"/>
          <a:ext cx="1800226" cy="3129561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4</xdr:row>
      <xdr:rowOff>38099</xdr:rowOff>
    </xdr:from>
    <xdr:to>
      <xdr:col>1</xdr:col>
      <xdr:colOff>1734575</xdr:colOff>
      <xdr:row>4</xdr:row>
      <xdr:rowOff>3124200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3248024"/>
          <a:ext cx="1391675" cy="3086101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238127</xdr:colOff>
      <xdr:row>4</xdr:row>
      <xdr:rowOff>57149</xdr:rowOff>
    </xdr:from>
    <xdr:to>
      <xdr:col>2</xdr:col>
      <xdr:colOff>2614886</xdr:colOff>
      <xdr:row>4</xdr:row>
      <xdr:rowOff>3143250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8452" y="3267074"/>
          <a:ext cx="2376759" cy="3086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Projects/A8x5/Doc/A835%20&#1058;&#1077;&#1088;&#1084;&#1086;&#1084;&#1072;&#1085;&#1086;&#1084;&#1077;&#1090;&#1088;.&#1054;&#1087;&#1088;&#1086;&#1089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осный лист термоманометр"/>
      <sheetName val="Справка"/>
      <sheetName val="Лист1"/>
    </sheetNames>
    <sheetDataSet>
      <sheetData sheetId="0">
        <row r="4">
          <cell r="L4">
            <v>0.6</v>
          </cell>
        </row>
        <row r="5">
          <cell r="L5">
            <v>1</v>
          </cell>
        </row>
        <row r="6">
          <cell r="L6">
            <v>1.6</v>
          </cell>
        </row>
        <row r="7">
          <cell r="L7">
            <v>2.5</v>
          </cell>
        </row>
        <row r="8">
          <cell r="L8">
            <v>4</v>
          </cell>
        </row>
        <row r="9">
          <cell r="L9">
            <v>6</v>
          </cell>
        </row>
        <row r="10">
          <cell r="L10">
            <v>10</v>
          </cell>
        </row>
        <row r="11">
          <cell r="L11">
            <v>16</v>
          </cell>
        </row>
        <row r="12">
          <cell r="L12">
            <v>25</v>
          </cell>
        </row>
        <row r="13">
          <cell r="L13">
            <v>40</v>
          </cell>
        </row>
        <row r="14">
          <cell r="L14">
            <v>60</v>
          </cell>
        </row>
        <row r="15">
          <cell r="L15" t="str">
            <v>другое</v>
          </cell>
        </row>
        <row r="17">
          <cell r="L17">
            <v>0.15</v>
          </cell>
        </row>
        <row r="18">
          <cell r="L18">
            <v>0.25</v>
          </cell>
        </row>
        <row r="19">
          <cell r="L19">
            <v>0.5</v>
          </cell>
        </row>
        <row r="20">
          <cell r="L20">
            <v>1</v>
          </cell>
        </row>
        <row r="21">
          <cell r="L21">
            <v>1.5</v>
          </cell>
        </row>
        <row r="22">
          <cell r="L22" t="str">
            <v>другое</v>
          </cell>
        </row>
        <row r="24">
          <cell r="I24">
            <v>1</v>
          </cell>
        </row>
        <row r="25">
          <cell r="L25" t="str">
            <v>корпус датчика</v>
          </cell>
        </row>
        <row r="26">
          <cell r="L26" t="str">
            <v>встроенный погружной термощуп (жидкость или газ)</v>
          </cell>
        </row>
        <row r="27">
          <cell r="L27" t="str">
            <v>выносной погружной термощуп (жидкость или газ)</v>
          </cell>
        </row>
        <row r="36">
          <cell r="L36">
            <v>0.5</v>
          </cell>
          <cell r="M36">
            <v>0.5</v>
          </cell>
          <cell r="N36">
            <v>2</v>
          </cell>
        </row>
        <row r="37">
          <cell r="L37">
            <v>1</v>
          </cell>
          <cell r="M37">
            <v>1</v>
          </cell>
          <cell r="N37">
            <v>1</v>
          </cell>
        </row>
        <row r="38">
          <cell r="L38">
            <v>2</v>
          </cell>
          <cell r="M38">
            <v>2</v>
          </cell>
          <cell r="N38" t="str">
            <v>0.5</v>
          </cell>
        </row>
        <row r="40">
          <cell r="M40">
            <v>46</v>
          </cell>
          <cell r="N40">
            <v>46</v>
          </cell>
        </row>
        <row r="41">
          <cell r="M41">
            <v>64</v>
          </cell>
          <cell r="N41">
            <v>64</v>
          </cell>
        </row>
        <row r="42">
          <cell r="M42">
            <v>100</v>
          </cell>
          <cell r="N42">
            <v>100</v>
          </cell>
        </row>
        <row r="43">
          <cell r="M43" t="str">
            <v>другая</v>
          </cell>
          <cell r="N43" t="str">
            <v>другая</v>
          </cell>
        </row>
        <row r="45">
          <cell r="M45">
            <v>5</v>
          </cell>
          <cell r="N45">
            <v>5</v>
          </cell>
        </row>
        <row r="46">
          <cell r="M46">
            <v>6</v>
          </cell>
          <cell r="N46">
            <v>6</v>
          </cell>
        </row>
        <row r="47">
          <cell r="M47">
            <v>8</v>
          </cell>
          <cell r="N47">
            <v>8</v>
          </cell>
        </row>
        <row r="48">
          <cell r="M48">
            <v>10</v>
          </cell>
          <cell r="N48">
            <v>10</v>
          </cell>
        </row>
        <row r="49">
          <cell r="M49" t="str">
            <v>другой</v>
          </cell>
          <cell r="N49" t="str">
            <v>другой</v>
          </cell>
        </row>
        <row r="51">
          <cell r="N51" t="str">
            <v>штуцер подвижный</v>
          </cell>
        </row>
        <row r="52">
          <cell r="N52" t="str">
            <v>штуцер приварной</v>
          </cell>
        </row>
        <row r="53">
          <cell r="N53" t="str">
            <v>штуцер подпружиненный</v>
          </cell>
        </row>
        <row r="54">
          <cell r="N54" t="str">
            <v>фланец</v>
          </cell>
        </row>
        <row r="55">
          <cell r="N55" t="str">
            <v>другой</v>
          </cell>
        </row>
        <row r="57">
          <cell r="N57" t="str">
            <v>бескорпусной с выводами</v>
          </cell>
        </row>
        <row r="58">
          <cell r="N58" t="str">
            <v>коммутационная (клеммная) головка</v>
          </cell>
        </row>
        <row r="59">
          <cell r="N59" t="str">
            <v>другой</v>
          </cell>
        </row>
        <row r="61">
          <cell r="N61">
            <v>1</v>
          </cell>
        </row>
        <row r="62">
          <cell r="N62">
            <v>1.5</v>
          </cell>
        </row>
        <row r="63">
          <cell r="N63">
            <v>2</v>
          </cell>
        </row>
        <row r="64">
          <cell r="N64">
            <v>2.5</v>
          </cell>
        </row>
        <row r="65">
          <cell r="N65">
            <v>3</v>
          </cell>
        </row>
        <row r="66">
          <cell r="N66">
            <v>4</v>
          </cell>
        </row>
        <row r="67">
          <cell r="N67">
            <v>5</v>
          </cell>
        </row>
        <row r="68">
          <cell r="N68">
            <v>7</v>
          </cell>
        </row>
        <row r="69">
          <cell r="N69">
            <v>10</v>
          </cell>
        </row>
        <row r="71">
          <cell r="N71" t="str">
            <v>без дополнительной защиты</v>
          </cell>
        </row>
        <row r="72">
          <cell r="N72" t="str">
            <v>труба гофрированная полимерная</v>
          </cell>
        </row>
        <row r="73">
          <cell r="N73" t="str">
            <v xml:space="preserve">другая </v>
          </cell>
        </row>
        <row r="75">
          <cell r="M75" t="str">
            <v>не требуется</v>
          </cell>
          <cell r="N75" t="str">
            <v>не требуется</v>
          </cell>
        </row>
        <row r="76">
          <cell r="M76" t="str">
            <v>М20х1.5</v>
          </cell>
          <cell r="N76" t="str">
            <v>М20х1.5</v>
          </cell>
        </row>
        <row r="77">
          <cell r="M77" t="str">
            <v>G1/2</v>
          </cell>
          <cell r="N77" t="str">
            <v>G1/2</v>
          </cell>
        </row>
        <row r="78">
          <cell r="M78" t="str">
            <v>другая</v>
          </cell>
          <cell r="N78" t="str">
            <v>другая</v>
          </cell>
        </row>
        <row r="80">
          <cell r="L80" t="str">
            <v>LoRaWAN</v>
          </cell>
        </row>
        <row r="81">
          <cell r="L81" t="str">
            <v>нет</v>
          </cell>
        </row>
        <row r="87">
          <cell r="L87" t="str">
            <v>обычное</v>
          </cell>
        </row>
        <row r="88">
          <cell r="L88" t="str">
            <v>коррозионно-стойкое</v>
          </cell>
        </row>
        <row r="90">
          <cell r="L90" t="str">
            <v>М20х1.5</v>
          </cell>
        </row>
        <row r="91">
          <cell r="L91" t="str">
            <v>G1/2</v>
          </cell>
        </row>
        <row r="92">
          <cell r="L92" t="str">
            <v>другая</v>
          </cell>
        </row>
        <row r="94">
          <cell r="L94" t="str">
            <v>не требуется</v>
          </cell>
        </row>
        <row r="95">
          <cell r="L95" t="str">
            <v>кронштейн Г-образный</v>
          </cell>
        </row>
        <row r="96">
          <cell r="L96" t="str">
            <v>отвод-охладитель</v>
          </cell>
        </row>
        <row r="97">
          <cell r="L97" t="str">
            <v>клапан, отвод-охладитель</v>
          </cell>
        </row>
        <row r="98">
          <cell r="L98" t="str">
            <v>блок вентильный, гильза защитная</v>
          </cell>
        </row>
        <row r="99">
          <cell r="L99" t="str">
            <v>другая</v>
          </cell>
        </row>
        <row r="101">
          <cell r="L101" t="str">
            <v>не требуется</v>
          </cell>
        </row>
        <row r="102">
          <cell r="L102" t="str">
            <v>требуется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а1" displayName="Таблица1" ref="D4:E5" totalsRowShown="0" headerRowDxfId="18" dataDxfId="17">
  <autoFilter ref="D4:E5"/>
  <tableColumns count="2">
    <tableColumn id="1" name="Столбец1" dataDxfId="16"/>
    <tableColumn id="2" name="Столбец2" dataDxfId="1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3" displayName="Таблица3" ref="D13:E20" totalsRowShown="0" dataDxfId="14">
  <autoFilter ref="D13:E20"/>
  <tableColumns count="2">
    <tableColumn id="1" name="Столбец1" dataDxfId="13"/>
    <tableColumn id="2" name="Столбец2" dataDxfId="12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Таблица4" displayName="Таблица4" ref="D28:E31" totalsRowShown="0">
  <autoFilter ref="D28:E31"/>
  <tableColumns count="2">
    <tableColumn id="1" name="Столбец1" dataDxfId="11"/>
    <tableColumn id="2" name="Столбец2" dataDxfId="1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Таблица5" displayName="Таблица5" ref="D39:E43" totalsRowShown="0">
  <autoFilter ref="D39:E43"/>
  <tableColumns count="2">
    <tableColumn id="1" name="Столбец1" dataDxfId="9"/>
    <tableColumn id="2" name="Одна" dataDxfId="8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6" name="Таблица2" displayName="Таблица2" ref="D34:E36" totalsRowShown="0">
  <autoFilter ref="D34:E36"/>
  <tableColumns count="2">
    <tableColumn id="1" name="Столбец1"/>
    <tableColumn id="2" name="Столбец2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7" name="Таблица7" displayName="Таблица7" ref="D8:E10" totalsRowShown="0">
  <autoFilter ref="D8:E10"/>
  <tableColumns count="2">
    <tableColumn id="1" name="Столбец1">
      <calculatedColumnFormula>OFFSET(F9,0,$A$4-1)</calculatedColumnFormula>
    </tableColumn>
    <tableColumn id="2" name="Столбец2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11" name="Таблица612" displayName="Таблица612" ref="D56:E58" totalsRowShown="0" headerRowDxfId="7" dataDxfId="6">
  <autoFilter ref="D56:E58"/>
  <tableColumns count="2">
    <tableColumn id="1" name="Столбец1" dataDxfId="5"/>
    <tableColumn id="2" name="Столбец2" dataDxfId="4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5" name="Таблица6" displayName="Таблица6" ref="D46:E53" totalsRowShown="0">
  <autoFilter ref="D46:E53"/>
  <tableColumns count="2">
    <tableColumn id="1" name="Столбец1" dataDxfId="3"/>
    <tableColumn id="2" name="Столбец2" dataDxfId="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8" name="Таблица49" displayName="Таблица49" ref="D23:E25" totalsRowShown="0">
  <autoFilter ref="D23:E25"/>
  <tableColumns count="2">
    <tableColumn id="1" name="Столбец1" dataDxfId="1"/>
    <tableColumn id="2" name="Столбец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 summaryRight="0"/>
    <pageSetUpPr fitToPage="1"/>
  </sheetPr>
  <dimension ref="A1:K39"/>
  <sheetViews>
    <sheetView tabSelected="1" zoomScaleNormal="100" workbookViewId="0">
      <selection activeCell="M19" sqref="M18:M19"/>
    </sheetView>
  </sheetViews>
  <sheetFormatPr defaultRowHeight="12.75" x14ac:dyDescent="0.2"/>
  <cols>
    <col min="1" max="1" width="2.85546875" customWidth="1"/>
    <col min="2" max="2" width="3.28515625" customWidth="1"/>
    <col min="3" max="3" width="12.5703125" customWidth="1"/>
    <col min="4" max="4" width="4.28515625" customWidth="1"/>
    <col min="5" max="5" width="20.7109375" customWidth="1"/>
    <col min="6" max="6" width="6.7109375" customWidth="1"/>
    <col min="7" max="7" width="35.42578125" customWidth="1"/>
    <col min="8" max="8" width="1.42578125" customWidth="1"/>
    <col min="9" max="9" width="23.42578125" customWidth="1"/>
    <col min="10" max="10" width="1" customWidth="1"/>
    <col min="11" max="11" width="4.140625" style="2" customWidth="1"/>
    <col min="12" max="13" width="13.28515625" customWidth="1"/>
    <col min="14" max="16" width="6.140625" customWidth="1"/>
    <col min="17" max="17" width="5.28515625" customWidth="1"/>
    <col min="18" max="19" width="19.28515625" customWidth="1"/>
  </cols>
  <sheetData>
    <row r="1" spans="1:11" s="1" customFormat="1" ht="17.25" customHeight="1" x14ac:dyDescent="0.25">
      <c r="A1" s="90"/>
      <c r="B1" s="90"/>
      <c r="C1" s="90"/>
      <c r="D1" s="90"/>
      <c r="E1" s="90"/>
      <c r="F1" s="90"/>
      <c r="G1" s="90"/>
      <c r="H1" s="90"/>
      <c r="I1" s="67" t="s">
        <v>55</v>
      </c>
      <c r="J1" s="27"/>
      <c r="K1" s="68"/>
    </row>
    <row r="2" spans="1:11" ht="46.5" customHeight="1" x14ac:dyDescent="0.25">
      <c r="A2" s="25"/>
      <c r="B2" s="25"/>
      <c r="C2" s="26" t="s">
        <v>29</v>
      </c>
      <c r="D2" s="26"/>
      <c r="E2" s="26"/>
      <c r="F2" s="27"/>
      <c r="G2" s="27"/>
      <c r="H2" s="25"/>
      <c r="I2" s="28" t="s">
        <v>7</v>
      </c>
      <c r="J2" s="27"/>
    </row>
    <row r="3" spans="1:11" ht="18" customHeight="1" x14ac:dyDescent="0.25">
      <c r="A3" s="25"/>
      <c r="B3" s="29"/>
      <c r="C3" s="29"/>
      <c r="D3" s="29"/>
      <c r="E3" s="29"/>
      <c r="F3" s="58"/>
      <c r="G3" s="58"/>
      <c r="H3" s="58"/>
      <c r="I3" s="59"/>
      <c r="J3" s="27"/>
    </row>
    <row r="4" spans="1:11" ht="24.95" customHeight="1" x14ac:dyDescent="0.25">
      <c r="A4" s="84" t="s">
        <v>59</v>
      </c>
      <c r="B4" s="54" t="s">
        <v>30</v>
      </c>
      <c r="C4" s="53"/>
      <c r="D4" s="53"/>
      <c r="E4" s="53"/>
      <c r="F4" s="60"/>
      <c r="G4" s="60"/>
      <c r="H4" s="60"/>
      <c r="I4" s="61"/>
      <c r="J4" s="27"/>
    </row>
    <row r="5" spans="1:11" ht="3.95" customHeight="1" thickBot="1" x14ac:dyDescent="0.3">
      <c r="A5" s="53"/>
      <c r="B5" s="54"/>
      <c r="C5" s="53"/>
      <c r="D5" s="53"/>
      <c r="E5" s="53"/>
      <c r="F5" s="60"/>
      <c r="G5" s="60"/>
      <c r="H5" s="60"/>
      <c r="I5" s="74"/>
      <c r="J5" s="27"/>
    </row>
    <row r="6" spans="1:11" ht="24.95" customHeight="1" x14ac:dyDescent="0.25">
      <c r="A6" s="53"/>
      <c r="B6" s="54" t="str">
        <f>IF(Лист1!A8=1,"Длина кабеля, м","")</f>
        <v>Длина кабеля, м</v>
      </c>
      <c r="C6" s="53"/>
      <c r="D6" s="53"/>
      <c r="E6" s="53"/>
      <c r="F6" s="58"/>
      <c r="G6" s="72"/>
      <c r="H6" s="72"/>
      <c r="I6" s="75"/>
      <c r="J6" s="73"/>
    </row>
    <row r="7" spans="1:11" ht="3.95" customHeight="1" x14ac:dyDescent="0.25">
      <c r="A7" s="53"/>
      <c r="B7" s="54"/>
      <c r="C7" s="53"/>
      <c r="D7" s="53"/>
      <c r="E7" s="53"/>
      <c r="F7" s="58"/>
      <c r="G7" s="58"/>
      <c r="H7" s="58"/>
      <c r="I7" s="71"/>
      <c r="J7" s="27"/>
    </row>
    <row r="8" spans="1:11" ht="24.95" customHeight="1" x14ac:dyDescent="0.25">
      <c r="A8" s="84" t="s">
        <v>59</v>
      </c>
      <c r="B8" s="54" t="str">
        <f>IF(Лист1!A8=1,"Крепление преобразователя расстояния","")</f>
        <v>Крепление преобразователя расстояния</v>
      </c>
      <c r="C8" s="53"/>
      <c r="D8" s="53"/>
      <c r="E8" s="53"/>
      <c r="F8" s="58"/>
      <c r="G8" s="58"/>
      <c r="H8" s="58"/>
      <c r="I8" s="77"/>
      <c r="J8" s="27"/>
    </row>
    <row r="9" spans="1:11" ht="3.95" customHeight="1" thickBot="1" x14ac:dyDescent="0.3">
      <c r="A9" s="53"/>
      <c r="B9" s="54"/>
      <c r="C9" s="53"/>
      <c r="D9" s="53"/>
      <c r="E9" s="53"/>
      <c r="F9" s="58"/>
      <c r="G9" s="58"/>
      <c r="H9" s="58"/>
      <c r="I9" s="77"/>
      <c r="J9" s="27"/>
    </row>
    <row r="10" spans="1:11" ht="24.95" customHeight="1" x14ac:dyDescent="0.25">
      <c r="A10" s="53"/>
      <c r="B10" s="55" t="str">
        <f>IF(AND(Лист1!A8=1,Лист1!A23=1),"Защита кабеля","")</f>
        <v>Защита кабеля</v>
      </c>
      <c r="C10" s="53"/>
      <c r="D10" s="53"/>
      <c r="E10" s="53"/>
      <c r="F10" s="58"/>
      <c r="G10" s="58"/>
      <c r="H10" s="58"/>
      <c r="I10" s="76"/>
      <c r="J10" s="27"/>
    </row>
    <row r="11" spans="1:11" ht="3.95" customHeight="1" x14ac:dyDescent="0.25">
      <c r="A11" s="53"/>
      <c r="B11" s="55"/>
      <c r="C11" s="53"/>
      <c r="D11" s="53"/>
      <c r="E11" s="53"/>
      <c r="F11" s="58"/>
      <c r="G11" s="58"/>
      <c r="H11" s="58"/>
      <c r="I11" s="62"/>
      <c r="J11" s="27"/>
    </row>
    <row r="12" spans="1:11" ht="24.95" customHeight="1" x14ac:dyDescent="0.25">
      <c r="A12" s="53"/>
      <c r="B12" s="54" t="s">
        <v>20</v>
      </c>
      <c r="C12" s="53"/>
      <c r="D12" s="53"/>
      <c r="E12" s="53"/>
      <c r="F12" s="58"/>
      <c r="G12" s="58"/>
      <c r="H12" s="60"/>
      <c r="I12" s="61"/>
      <c r="J12" s="27"/>
    </row>
    <row r="13" spans="1:11" ht="3.95" customHeight="1" thickBot="1" x14ac:dyDescent="0.3">
      <c r="A13" s="53"/>
      <c r="B13" s="54"/>
      <c r="C13" s="53"/>
      <c r="D13" s="53"/>
      <c r="E13" s="53"/>
      <c r="F13" s="58"/>
      <c r="G13" s="58"/>
      <c r="H13" s="60"/>
      <c r="I13" s="61"/>
      <c r="J13" s="27"/>
    </row>
    <row r="14" spans="1:11" ht="24.95" customHeight="1" x14ac:dyDescent="0.3">
      <c r="A14" s="56"/>
      <c r="B14" s="55" t="str">
        <f>IF(Лист1!A8=1,"Крепление","")</f>
        <v>Крепление</v>
      </c>
      <c r="C14" s="55"/>
      <c r="D14" s="55"/>
      <c r="E14" s="55"/>
      <c r="F14" s="58"/>
      <c r="G14" s="58"/>
      <c r="H14" s="58"/>
      <c r="I14" s="76"/>
      <c r="J14" s="27"/>
    </row>
    <row r="15" spans="1:11" ht="3.95" customHeight="1" thickBot="1" x14ac:dyDescent="0.35">
      <c r="A15" s="56"/>
      <c r="B15" s="55"/>
      <c r="C15" s="55"/>
      <c r="D15" s="55"/>
      <c r="E15" s="55"/>
      <c r="F15" s="58"/>
      <c r="G15" s="58"/>
      <c r="H15" s="58"/>
      <c r="I15" s="62"/>
      <c r="J15" s="27"/>
    </row>
    <row r="16" spans="1:11" ht="24.95" customHeight="1" x14ac:dyDescent="0.25">
      <c r="A16" s="53"/>
      <c r="B16" s="55" t="str">
        <f>IF(Лист1!A8=2,"Переход фланцевый","")</f>
        <v/>
      </c>
      <c r="C16" s="55"/>
      <c r="D16" s="55"/>
      <c r="E16" s="55"/>
      <c r="F16" s="60"/>
      <c r="G16" s="60"/>
      <c r="H16" s="60"/>
      <c r="I16" s="76"/>
      <c r="J16" s="27"/>
    </row>
    <row r="17" spans="1:10" ht="48" customHeight="1" x14ac:dyDescent="0.25">
      <c r="A17" s="53"/>
      <c r="B17" s="55"/>
      <c r="C17" s="91" t="str">
        <f>Лист1!C47</f>
        <v/>
      </c>
      <c r="D17" s="92"/>
      <c r="E17" s="92"/>
      <c r="F17" s="93"/>
      <c r="G17" s="70"/>
      <c r="H17" s="60"/>
      <c r="I17" s="61"/>
      <c r="J17" s="27"/>
    </row>
    <row r="18" spans="1:10" ht="3.95" customHeight="1" thickBot="1" x14ac:dyDescent="0.25">
      <c r="A18" s="53"/>
      <c r="B18" s="53"/>
      <c r="C18" s="53"/>
      <c r="D18" s="53"/>
      <c r="E18" s="53"/>
      <c r="F18" s="60"/>
      <c r="G18" s="60"/>
      <c r="H18" s="60"/>
      <c r="I18" s="61"/>
      <c r="J18" s="27"/>
    </row>
    <row r="19" spans="1:10" ht="64.5" customHeight="1" x14ac:dyDescent="0.25">
      <c r="A19" s="53"/>
      <c r="B19" s="57" t="s">
        <v>6</v>
      </c>
      <c r="C19" s="55"/>
      <c r="D19" s="55"/>
      <c r="E19" s="55"/>
      <c r="F19" s="94"/>
      <c r="G19" s="95"/>
      <c r="H19" s="95"/>
      <c r="I19" s="96"/>
      <c r="J19" s="27"/>
    </row>
    <row r="20" spans="1:10" ht="3.95" customHeight="1" thickBot="1" x14ac:dyDescent="0.3">
      <c r="A20" s="53"/>
      <c r="B20" s="55"/>
      <c r="C20" s="55"/>
      <c r="D20" s="55"/>
      <c r="E20" s="55"/>
      <c r="F20" s="58"/>
      <c r="G20" s="58"/>
      <c r="H20" s="58"/>
      <c r="I20" s="58"/>
      <c r="J20" s="27"/>
    </row>
    <row r="21" spans="1:10" ht="24.95" customHeight="1" x14ac:dyDescent="0.25">
      <c r="A21" s="53"/>
      <c r="B21" s="55" t="s">
        <v>5</v>
      </c>
      <c r="C21" s="69"/>
      <c r="D21" s="85"/>
      <c r="E21" s="85"/>
      <c r="F21" s="85"/>
      <c r="G21" s="62"/>
      <c r="H21" s="58"/>
      <c r="I21" s="58"/>
      <c r="J21" s="27"/>
    </row>
    <row r="22" spans="1:10" ht="3.95" customHeight="1" x14ac:dyDescent="0.2">
      <c r="A22" s="53"/>
      <c r="B22" s="53"/>
      <c r="C22" s="53"/>
      <c r="D22" s="53"/>
      <c r="E22" s="53"/>
      <c r="F22" s="61"/>
      <c r="G22" s="61"/>
      <c r="H22" s="60"/>
      <c r="I22" s="60"/>
      <c r="J22" s="27"/>
    </row>
    <row r="23" spans="1:10" ht="24.95" customHeight="1" thickBot="1" x14ac:dyDescent="0.3">
      <c r="A23" s="53"/>
      <c r="B23" s="55" t="s">
        <v>0</v>
      </c>
      <c r="C23" s="55"/>
      <c r="D23" s="55"/>
      <c r="E23" s="55"/>
      <c r="F23" s="61"/>
      <c r="G23" s="61"/>
      <c r="H23" s="60"/>
      <c r="I23" s="60"/>
      <c r="J23" s="27"/>
    </row>
    <row r="24" spans="1:10" ht="24.95" customHeight="1" x14ac:dyDescent="0.25">
      <c r="A24" s="53"/>
      <c r="B24" s="55"/>
      <c r="C24" s="55" t="s">
        <v>1</v>
      </c>
      <c r="D24" s="55"/>
      <c r="E24" s="55"/>
      <c r="F24" s="85"/>
      <c r="G24" s="85"/>
      <c r="H24" s="85"/>
      <c r="I24" s="85"/>
      <c r="J24" s="27"/>
    </row>
    <row r="25" spans="1:10" ht="3.95" customHeight="1" thickBot="1" x14ac:dyDescent="0.3">
      <c r="A25" s="53"/>
      <c r="B25" s="55"/>
      <c r="C25" s="55"/>
      <c r="D25" s="55"/>
      <c r="E25" s="55"/>
      <c r="F25" s="63"/>
      <c r="G25" s="63"/>
      <c r="H25" s="64"/>
      <c r="I25" s="60"/>
      <c r="J25" s="27"/>
    </row>
    <row r="26" spans="1:10" ht="24.95" customHeight="1" x14ac:dyDescent="0.25">
      <c r="A26" s="53"/>
      <c r="B26" s="55"/>
      <c r="C26" s="55" t="s">
        <v>2</v>
      </c>
      <c r="D26" s="85"/>
      <c r="E26" s="85"/>
      <c r="F26" s="85"/>
      <c r="G26" s="85"/>
      <c r="H26" s="85"/>
      <c r="I26" s="85"/>
      <c r="J26" s="27"/>
    </row>
    <row r="27" spans="1:10" ht="3.95" customHeight="1" thickBot="1" x14ac:dyDescent="0.3">
      <c r="A27" s="53"/>
      <c r="B27" s="55"/>
      <c r="C27" s="55"/>
      <c r="D27" s="55"/>
      <c r="E27" s="55"/>
      <c r="F27" s="63"/>
      <c r="G27" s="63"/>
      <c r="H27" s="64"/>
      <c r="I27" s="60"/>
      <c r="J27" s="27"/>
    </row>
    <row r="28" spans="1:10" ht="24.95" customHeight="1" x14ac:dyDescent="0.25">
      <c r="A28" s="53"/>
      <c r="B28" s="55"/>
      <c r="C28" s="55" t="s">
        <v>3</v>
      </c>
      <c r="D28" s="55"/>
      <c r="E28" s="85"/>
      <c r="F28" s="85"/>
      <c r="G28" s="85"/>
      <c r="H28" s="85"/>
      <c r="I28" s="85"/>
      <c r="J28" s="27"/>
    </row>
    <row r="29" spans="1:10" ht="3.95" customHeight="1" thickBot="1" x14ac:dyDescent="0.3">
      <c r="A29" s="53"/>
      <c r="B29" s="55"/>
      <c r="C29" s="55"/>
      <c r="D29" s="55"/>
      <c r="E29" s="55"/>
      <c r="F29" s="63"/>
      <c r="G29" s="63"/>
      <c r="H29" s="64"/>
      <c r="I29" s="60"/>
      <c r="J29" s="27"/>
    </row>
    <row r="30" spans="1:10" ht="24.95" customHeight="1" x14ac:dyDescent="0.25">
      <c r="A30" s="53"/>
      <c r="B30" s="55"/>
      <c r="C30" s="55" t="s">
        <v>4</v>
      </c>
      <c r="D30" s="55"/>
      <c r="E30" s="85"/>
      <c r="F30" s="85"/>
      <c r="G30" s="85"/>
      <c r="H30" s="85"/>
      <c r="I30" s="85"/>
      <c r="J30" s="27"/>
    </row>
    <row r="31" spans="1:10" ht="9.9499999999999993" customHeight="1" x14ac:dyDescent="0.2">
      <c r="A31" s="31"/>
      <c r="B31" s="31"/>
      <c r="C31" s="31"/>
      <c r="D31" s="31"/>
      <c r="E31" s="31"/>
      <c r="F31" s="31"/>
      <c r="G31" s="31"/>
      <c r="H31" s="31"/>
      <c r="I31" s="25"/>
      <c r="J31" s="27"/>
    </row>
    <row r="32" spans="1:10" ht="15.75" x14ac:dyDescent="0.25">
      <c r="A32" s="32"/>
      <c r="B32" s="33" t="s">
        <v>8</v>
      </c>
      <c r="C32" s="37"/>
      <c r="D32" s="37"/>
      <c r="E32" s="37"/>
      <c r="F32" s="38"/>
      <c r="G32" s="38"/>
      <c r="H32" s="32"/>
      <c r="I32" s="30"/>
      <c r="J32" s="27"/>
    </row>
    <row r="33" spans="1:10" ht="15.75" x14ac:dyDescent="0.25">
      <c r="A33" s="32"/>
      <c r="B33" s="34"/>
      <c r="C33" s="86" t="str">
        <f>Лист1!A62</f>
        <v>Дальномер-уровнемер "Автон" (1м, LoRa)</v>
      </c>
      <c r="D33" s="87"/>
      <c r="E33" s="87"/>
      <c r="F33" s="87"/>
      <c r="G33" s="87"/>
      <c r="H33" s="36"/>
      <c r="I33" s="30"/>
      <c r="J33" s="27"/>
    </row>
    <row r="34" spans="1:10" ht="17.25" customHeight="1" x14ac:dyDescent="0.25">
      <c r="A34" s="32"/>
      <c r="B34" s="33" t="s">
        <v>23</v>
      </c>
      <c r="C34" s="39"/>
      <c r="D34" s="39"/>
      <c r="E34" s="39"/>
      <c r="F34" s="39"/>
      <c r="G34" s="39"/>
      <c r="H34" s="32"/>
      <c r="I34" s="30"/>
      <c r="J34" s="27"/>
    </row>
    <row r="35" spans="1:10" ht="15.75" x14ac:dyDescent="0.25">
      <c r="A35" s="32"/>
      <c r="B35" s="34"/>
      <c r="C35" s="86" t="str">
        <f>Лист1!A65</f>
        <v/>
      </c>
      <c r="D35" s="87"/>
      <c r="E35" s="87"/>
      <c r="F35" s="87"/>
      <c r="G35" s="87"/>
      <c r="H35" s="36"/>
      <c r="I35" s="30"/>
      <c r="J35" s="27"/>
    </row>
    <row r="36" spans="1:10" ht="15.75" x14ac:dyDescent="0.25">
      <c r="A36" s="32"/>
      <c r="B36" s="34"/>
      <c r="C36" s="87" t="str">
        <f>Лист1!A66</f>
        <v/>
      </c>
      <c r="D36" s="87"/>
      <c r="E36" s="87"/>
      <c r="F36" s="87"/>
      <c r="G36" s="87"/>
      <c r="H36" s="36"/>
      <c r="I36" s="30"/>
      <c r="J36" s="27"/>
    </row>
    <row r="37" spans="1:10" ht="15.75" x14ac:dyDescent="0.25">
      <c r="A37" s="32"/>
      <c r="B37" s="33" t="s">
        <v>6</v>
      </c>
      <c r="C37" s="39"/>
      <c r="D37" s="39"/>
      <c r="E37" s="39"/>
      <c r="F37" s="39"/>
      <c r="G37" s="39"/>
      <c r="H37" s="32"/>
      <c r="I37" s="30"/>
      <c r="J37" s="27"/>
    </row>
    <row r="38" spans="1:10" ht="58.5" customHeight="1" x14ac:dyDescent="0.2">
      <c r="A38" s="32"/>
      <c r="B38" s="35"/>
      <c r="C38" s="88" t="str">
        <f>IF(F19="","",F19)</f>
        <v/>
      </c>
      <c r="D38" s="89"/>
      <c r="E38" s="89"/>
      <c r="F38" s="89"/>
      <c r="G38" s="89"/>
      <c r="H38" s="36"/>
      <c r="I38" s="30"/>
      <c r="J38" s="27"/>
    </row>
    <row r="39" spans="1:10" ht="9" customHeight="1" x14ac:dyDescent="0.2">
      <c r="A39" s="32"/>
      <c r="B39" s="32"/>
      <c r="C39" s="40"/>
      <c r="D39" s="40"/>
      <c r="E39" s="40"/>
      <c r="F39" s="40"/>
      <c r="G39" s="40"/>
      <c r="H39" s="32"/>
      <c r="I39" s="30"/>
      <c r="J39" s="27"/>
    </row>
  </sheetData>
  <sheetProtection password="C7C8" sheet="1" objects="1" scenarios="1"/>
  <mergeCells count="12">
    <mergeCell ref="A1:H1"/>
    <mergeCell ref="C17:F17"/>
    <mergeCell ref="F19:I19"/>
    <mergeCell ref="D21:F21"/>
    <mergeCell ref="F24:I24"/>
    <mergeCell ref="D26:I26"/>
    <mergeCell ref="E28:I28"/>
    <mergeCell ref="E30:I30"/>
    <mergeCell ref="C35:G35"/>
    <mergeCell ref="C38:G38"/>
    <mergeCell ref="C33:G33"/>
    <mergeCell ref="C36:G36"/>
  </mergeCells>
  <hyperlinks>
    <hyperlink ref="A4" location="Справка!A1" display="?"/>
    <hyperlink ref="A8" location="С_креплением_магнитным" display="?"/>
  </hyperlinks>
  <pageMargins left="0.6692913385826772" right="0.15748031496062992" top="0.35433070866141736" bottom="0.27559055118110237" header="0.19685039370078741" footer="0.23622047244094491"/>
  <pageSetup paperSize="9" scale="82" orientation="portrait" r:id="rId1"/>
  <rowBreaks count="1" manualBreakCount="1">
    <brk id="20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5</xdr:col>
                    <xdr:colOff>28575</xdr:colOff>
                    <xdr:row>5</xdr:row>
                    <xdr:rowOff>28575</xdr:rowOff>
                  </from>
                  <to>
                    <xdr:col>7</xdr:col>
                    <xdr:colOff>19050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Drop Down 12">
              <controlPr defaultSize="0" autoLine="0" autoPict="0">
                <anchor moveWithCells="1">
                  <from>
                    <xdr:col>5</xdr:col>
                    <xdr:colOff>28575</xdr:colOff>
                    <xdr:row>9</xdr:row>
                    <xdr:rowOff>19050</xdr:rowOff>
                  </from>
                  <to>
                    <xdr:col>7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Drop Down 13">
              <controlPr defaultSize="0" autoLine="0" autoPict="0">
                <anchor moveWithCells="1">
                  <from>
                    <xdr:col>5</xdr:col>
                    <xdr:colOff>28575</xdr:colOff>
                    <xdr:row>13</xdr:row>
                    <xdr:rowOff>28575</xdr:rowOff>
                  </from>
                  <to>
                    <xdr:col>7</xdr:col>
                    <xdr:colOff>19050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" name="Drop Down 104">
              <controlPr defaultSize="0" autoLine="0" autoPict="0">
                <anchor moveWithCells="1">
                  <from>
                    <xdr:col>5</xdr:col>
                    <xdr:colOff>28575</xdr:colOff>
                    <xdr:row>11</xdr:row>
                    <xdr:rowOff>28575</xdr:rowOff>
                  </from>
                  <to>
                    <xdr:col>7</xdr:col>
                    <xdr:colOff>19050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" name="Drop Down 106">
              <controlPr defaultSize="0" autoLine="0" autoPict="0">
                <anchor moveWithCells="1">
                  <from>
                    <xdr:col>5</xdr:col>
                    <xdr:colOff>28575</xdr:colOff>
                    <xdr:row>3</xdr:row>
                    <xdr:rowOff>19050</xdr:rowOff>
                  </from>
                  <to>
                    <xdr:col>7</xdr:col>
                    <xdr:colOff>19050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" name="Drop Down 112">
              <controlPr defaultSize="0" autoLine="0" autoPict="0">
                <anchor moveWithCells="1">
                  <from>
                    <xdr:col>5</xdr:col>
                    <xdr:colOff>28575</xdr:colOff>
                    <xdr:row>15</xdr:row>
                    <xdr:rowOff>28575</xdr:rowOff>
                  </from>
                  <to>
                    <xdr:col>7</xdr:col>
                    <xdr:colOff>19050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" name="Drop Down 113">
              <controlPr defaultSize="0" autoLine="0" autoPict="0">
                <anchor moveWithCells="1">
                  <from>
                    <xdr:col>5</xdr:col>
                    <xdr:colOff>28575</xdr:colOff>
                    <xdr:row>7</xdr:row>
                    <xdr:rowOff>28575</xdr:rowOff>
                  </from>
                  <to>
                    <xdr:col>7</xdr:col>
                    <xdr:colOff>19050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fitToPage="1"/>
  </sheetPr>
  <dimension ref="A1:H92"/>
  <sheetViews>
    <sheetView topLeftCell="A49" zoomScaleNormal="100" workbookViewId="0">
      <selection activeCell="A25" sqref="A25"/>
    </sheetView>
  </sheetViews>
  <sheetFormatPr defaultRowHeight="16.5" customHeight="1" x14ac:dyDescent="0.2"/>
  <cols>
    <col min="1" max="1" width="33.140625" customWidth="1"/>
    <col min="2" max="2" width="32" style="9" customWidth="1"/>
    <col min="3" max="4" width="25.5703125" customWidth="1"/>
    <col min="5" max="5" width="27.5703125" customWidth="1"/>
    <col min="6" max="6" width="21.28515625" customWidth="1"/>
    <col min="7" max="10" width="13.28515625" customWidth="1"/>
    <col min="11" max="13" width="6.140625" customWidth="1"/>
    <col min="14" max="14" width="5.28515625" customWidth="1"/>
    <col min="15" max="16" width="19.28515625" customWidth="1"/>
  </cols>
  <sheetData>
    <row r="1" spans="1:8" ht="16.5" customHeight="1" x14ac:dyDescent="0.2">
      <c r="A1" s="97" t="s">
        <v>11</v>
      </c>
      <c r="B1" s="97"/>
      <c r="C1" s="6" t="s">
        <v>12</v>
      </c>
      <c r="D1" s="6" t="s">
        <v>15</v>
      </c>
    </row>
    <row r="2" spans="1:8" ht="16.5" customHeight="1" x14ac:dyDescent="0.2">
      <c r="A2" s="6"/>
      <c r="B2" s="8"/>
      <c r="C2" s="6"/>
    </row>
    <row r="3" spans="1:8" ht="16.5" customHeight="1" x14ac:dyDescent="0.2">
      <c r="A3" s="79" t="s">
        <v>31</v>
      </c>
      <c r="B3" s="51"/>
      <c r="C3" s="50"/>
      <c r="D3" s="80"/>
      <c r="E3" s="80"/>
    </row>
    <row r="4" spans="1:8" ht="16.5" customHeight="1" x14ac:dyDescent="0.25">
      <c r="A4" s="80">
        <v>1</v>
      </c>
      <c r="B4" s="81">
        <f>INDEX(D5:D5,A4,1)</f>
        <v>10</v>
      </c>
      <c r="C4" s="82" t="str">
        <f>VLOOKUP(B4,Таблица1[#All],2,)</f>
        <v>10м</v>
      </c>
      <c r="D4" s="80" t="s">
        <v>16</v>
      </c>
      <c r="E4" s="80" t="s">
        <v>17</v>
      </c>
    </row>
    <row r="5" spans="1:8" ht="16.5" customHeight="1" x14ac:dyDescent="0.25">
      <c r="A5" s="80"/>
      <c r="B5" s="81"/>
      <c r="C5" s="83"/>
      <c r="D5" s="80">
        <v>10</v>
      </c>
      <c r="E5" s="80" t="s">
        <v>32</v>
      </c>
    </row>
    <row r="6" spans="1:8" ht="16.5" customHeight="1" x14ac:dyDescent="0.25">
      <c r="C6" s="1"/>
    </row>
    <row r="7" spans="1:8" ht="16.5" customHeight="1" x14ac:dyDescent="0.25">
      <c r="A7" s="24" t="s">
        <v>30</v>
      </c>
      <c r="C7" s="1"/>
    </row>
    <row r="8" spans="1:8" ht="16.5" customHeight="1" x14ac:dyDescent="0.25">
      <c r="A8">
        <v>1</v>
      </c>
      <c r="B8" s="9" t="str">
        <f>INDEX(Таблица7[Столбец1],A8,1)</f>
        <v>с выносным датчиком</v>
      </c>
      <c r="C8" s="13" t="str">
        <f>VLOOKUP(B8,Таблица7[],2,)</f>
        <v/>
      </c>
      <c r="D8" t="s">
        <v>16</v>
      </c>
      <c r="E8" t="s">
        <v>17</v>
      </c>
      <c r="F8" s="21"/>
    </row>
    <row r="9" spans="1:8" ht="16.5" customHeight="1" x14ac:dyDescent="0.25">
      <c r="C9" s="1"/>
      <c r="D9" t="s">
        <v>33</v>
      </c>
      <c r="E9" s="14" t="s">
        <v>13</v>
      </c>
      <c r="F9" s="21"/>
    </row>
    <row r="10" spans="1:8" ht="16.5" customHeight="1" x14ac:dyDescent="0.25">
      <c r="C10" s="1"/>
      <c r="D10" t="s">
        <v>34</v>
      </c>
      <c r="E10" s="14" t="s">
        <v>35</v>
      </c>
      <c r="F10" s="21"/>
    </row>
    <row r="11" spans="1:8" ht="16.5" customHeight="1" x14ac:dyDescent="0.25">
      <c r="C11" s="1"/>
    </row>
    <row r="12" spans="1:8" ht="16.5" customHeight="1" x14ac:dyDescent="0.25">
      <c r="A12" s="24" t="s">
        <v>24</v>
      </c>
      <c r="C12" s="1"/>
      <c r="D12" s="23"/>
      <c r="E12" s="22"/>
    </row>
    <row r="13" spans="1:8" ht="16.5" customHeight="1" x14ac:dyDescent="0.25">
      <c r="A13">
        <v>1</v>
      </c>
      <c r="B13" s="9">
        <f>INDEX(D14:D20,A13,1)</f>
        <v>1</v>
      </c>
      <c r="C13" s="13" t="str">
        <f>VLOOKUP(B13,Таблица3[#All],2,)</f>
        <v xml:space="preserve">1м, </v>
      </c>
      <c r="D13" t="s">
        <v>16</v>
      </c>
      <c r="E13" t="s">
        <v>17</v>
      </c>
    </row>
    <row r="14" spans="1:8" ht="16.5" customHeight="1" x14ac:dyDescent="0.25">
      <c r="A14" s="7"/>
      <c r="B14" s="10"/>
      <c r="D14" s="5">
        <f>IF(A8=1,1,"")</f>
        <v>1</v>
      </c>
      <c r="E14" s="5" t="str">
        <f>IF(A8=1,"1м, ","")</f>
        <v xml:space="preserve">1м, </v>
      </c>
      <c r="H14" s="3"/>
    </row>
    <row r="15" spans="1:8" ht="16.5" customHeight="1" x14ac:dyDescent="0.25">
      <c r="A15" s="7"/>
      <c r="B15" s="10"/>
      <c r="D15" s="5">
        <f>IF(A8=1,2,"")</f>
        <v>2</v>
      </c>
      <c r="E15" s="5" t="str">
        <f>IF(A8=1,"2м, ","")</f>
        <v xml:space="preserve">2м, </v>
      </c>
      <c r="H15" s="3"/>
    </row>
    <row r="16" spans="1:8" ht="16.5" customHeight="1" x14ac:dyDescent="0.25">
      <c r="A16" s="7"/>
      <c r="B16" s="10"/>
      <c r="D16" s="5">
        <f>IF(A8=1,3,"")</f>
        <v>3</v>
      </c>
      <c r="E16" s="5" t="str">
        <f>IF(A8=1,"3м, ","")</f>
        <v xml:space="preserve">3м, </v>
      </c>
      <c r="H16" s="3"/>
    </row>
    <row r="17" spans="1:8" ht="16.5" customHeight="1" x14ac:dyDescent="0.25">
      <c r="B17" s="10"/>
      <c r="D17" s="5">
        <f>IF(A8=1,5,"")</f>
        <v>5</v>
      </c>
      <c r="E17" s="5" t="str">
        <f>IF(A8=1,"5м, ","")</f>
        <v xml:space="preserve">5м, </v>
      </c>
      <c r="H17" s="3"/>
    </row>
    <row r="18" spans="1:8" ht="16.5" customHeight="1" x14ac:dyDescent="0.25">
      <c r="B18" s="10"/>
      <c r="D18" s="5">
        <f>IF(A8=1,7,"")</f>
        <v>7</v>
      </c>
      <c r="E18" s="5" t="str">
        <f>IF(A8=1,"7м, ","")</f>
        <v xml:space="preserve">7м, </v>
      </c>
      <c r="H18" s="3"/>
    </row>
    <row r="19" spans="1:8" ht="16.5" customHeight="1" x14ac:dyDescent="0.25">
      <c r="B19" s="10"/>
      <c r="D19" s="5">
        <f>IF(A8=1,10,"")</f>
        <v>10</v>
      </c>
      <c r="E19" s="5" t="str">
        <f>IF(A8=1,"10м, ","")</f>
        <v xml:space="preserve">10м, </v>
      </c>
      <c r="H19" s="3"/>
    </row>
    <row r="20" spans="1:8" ht="16.5" customHeight="1" x14ac:dyDescent="0.25">
      <c r="A20" s="7"/>
      <c r="B20" s="10"/>
      <c r="D20" s="12" t="str">
        <f>IF(A8=1,"другая","")</f>
        <v>другая</v>
      </c>
      <c r="E20" s="44" t="str">
        <f>IF(A8=1,'Опросный лист дальномер'!I6&amp;"м, ","")</f>
        <v xml:space="preserve">м, </v>
      </c>
      <c r="H20" s="3"/>
    </row>
    <row r="21" spans="1:8" ht="16.5" customHeight="1" x14ac:dyDescent="0.25">
      <c r="A21" s="7"/>
      <c r="B21" s="10"/>
      <c r="D21" s="12"/>
      <c r="E21" s="12"/>
      <c r="H21" s="3"/>
    </row>
    <row r="22" spans="1:8" ht="16.5" customHeight="1" x14ac:dyDescent="0.25">
      <c r="A22" s="78" t="s">
        <v>52</v>
      </c>
      <c r="B22" s="10"/>
      <c r="D22" s="12"/>
      <c r="E22" s="12"/>
      <c r="H22" s="3"/>
    </row>
    <row r="23" spans="1:8" ht="16.5" customHeight="1" x14ac:dyDescent="0.25">
      <c r="A23">
        <v>1</v>
      </c>
      <c r="B23" s="9" t="str">
        <f>INDEX(D24:D25,A23,1)</f>
        <v>не требуется</v>
      </c>
      <c r="C23" s="13" t="str">
        <f>VLOOKUP(B23,Таблица49[#All],2,)</f>
        <v/>
      </c>
      <c r="D23" t="s">
        <v>16</v>
      </c>
      <c r="E23" t="s">
        <v>17</v>
      </c>
      <c r="H23" s="3"/>
    </row>
    <row r="24" spans="1:8" ht="16.5" customHeight="1" x14ac:dyDescent="0.25">
      <c r="A24" s="7"/>
      <c r="B24" s="10"/>
      <c r="D24" s="5" t="str">
        <f>IF(A8=1,"не требуется","")</f>
        <v>не требуется</v>
      </c>
      <c r="E24" s="14" t="str">
        <f>IF(A8=1,"","")</f>
        <v/>
      </c>
      <c r="H24" s="3"/>
    </row>
    <row r="25" spans="1:8" ht="16.5" customHeight="1" x14ac:dyDescent="0.25">
      <c r="A25" s="7"/>
      <c r="B25" s="10"/>
      <c r="D25" s="5" t="str">
        <f>IF(A8=1,"крепление магнитное","")</f>
        <v>крепление магнитное</v>
      </c>
      <c r="E25" t="str">
        <f>IF(A8=1,"КМ, ","")</f>
        <v xml:space="preserve">КМ, </v>
      </c>
      <c r="H25" s="3"/>
    </row>
    <row r="26" spans="1:8" ht="16.5" customHeight="1" x14ac:dyDescent="0.25">
      <c r="A26" s="7"/>
      <c r="B26" s="10"/>
      <c r="D26" s="5" t="str">
        <f>IF(A1=1,"другая","")</f>
        <v/>
      </c>
      <c r="E26" t="str">
        <f>IF(A1=1,'Опросный лист дальномер'!I3&amp;", ","")</f>
        <v/>
      </c>
      <c r="H26" s="3"/>
    </row>
    <row r="27" spans="1:8" ht="16.5" customHeight="1" x14ac:dyDescent="0.25">
      <c r="A27" s="24" t="s">
        <v>10</v>
      </c>
      <c r="B27" s="10"/>
      <c r="D27" s="12"/>
      <c r="E27" s="12"/>
      <c r="H27" s="3"/>
    </row>
    <row r="28" spans="1:8" ht="16.5" customHeight="1" x14ac:dyDescent="0.25">
      <c r="A28">
        <v>1</v>
      </c>
      <c r="B28" s="9" t="str">
        <f>INDEX(D29:D31,A28,1)</f>
        <v>без дополнительной защиты</v>
      </c>
      <c r="C28" s="13" t="str">
        <f>VLOOKUP(B28,Таблица4[#All],2,)</f>
        <v/>
      </c>
      <c r="D28" t="s">
        <v>16</v>
      </c>
      <c r="E28" t="s">
        <v>17</v>
      </c>
    </row>
    <row r="29" spans="1:8" ht="16.5" customHeight="1" x14ac:dyDescent="0.25">
      <c r="A29" s="7"/>
      <c r="B29" s="10"/>
      <c r="D29" s="5" t="str">
        <f>IF(AND(A8=1,A23=1),"без дополнительной защиты","")</f>
        <v>без дополнительной защиты</v>
      </c>
      <c r="E29" s="14" t="str">
        <f>IF(AND(A8=1,A23=1),"","")</f>
        <v/>
      </c>
      <c r="H29" s="3"/>
    </row>
    <row r="30" spans="1:8" ht="16.5" customHeight="1" x14ac:dyDescent="0.25">
      <c r="A30" s="7"/>
      <c r="B30" s="10"/>
      <c r="D30" s="5" t="str">
        <f>IF(AND(A8=1,A23=1),"труба гофрированная полимерная","")</f>
        <v>труба гофрированная полимерная</v>
      </c>
      <c r="E30" t="str">
        <f>IF(AND(A8=1,A23=1),"ТГ, ","")</f>
        <v xml:space="preserve">ТГ, </v>
      </c>
      <c r="H30" s="3"/>
    </row>
    <row r="31" spans="1:8" ht="16.5" customHeight="1" x14ac:dyDescent="0.25">
      <c r="A31" s="7"/>
      <c r="B31" s="10"/>
      <c r="D31" s="5" t="str">
        <f>IF(AND(A8=1,A23=1),"другая","")</f>
        <v>другая</v>
      </c>
      <c r="E31" t="str">
        <f>IF(AND(A8=1,A23=1),'Опросный лист дальномер'!I10&amp;", ","")</f>
        <v xml:space="preserve">, </v>
      </c>
      <c r="H31" s="3"/>
    </row>
    <row r="32" spans="1:8" ht="16.5" customHeight="1" x14ac:dyDescent="0.25">
      <c r="A32" s="7"/>
      <c r="B32" s="10"/>
      <c r="D32" s="5"/>
      <c r="H32" s="3"/>
    </row>
    <row r="33" spans="1:8" ht="16.5" customHeight="1" x14ac:dyDescent="0.25">
      <c r="A33" s="24" t="s">
        <v>20</v>
      </c>
      <c r="B33" s="10"/>
      <c r="D33" s="5"/>
      <c r="H33" s="3"/>
    </row>
    <row r="34" spans="1:8" ht="16.5" customHeight="1" x14ac:dyDescent="0.25">
      <c r="A34">
        <v>1</v>
      </c>
      <c r="B34" s="9" t="str">
        <f>INDEX(Таблица2[Столбец1],A34,1)</f>
        <v>LoRaWAN + Bluetooth Low Energy</v>
      </c>
      <c r="C34" s="13" t="str">
        <f>VLOOKUP(B34,Таблица2[#All],2,)</f>
        <v>LoRa</v>
      </c>
      <c r="D34" t="s">
        <v>16</v>
      </c>
      <c r="E34" t="s">
        <v>17</v>
      </c>
    </row>
    <row r="35" spans="1:8" ht="16.5" customHeight="1" x14ac:dyDescent="0.25">
      <c r="C35" s="1"/>
      <c r="D35" t="s">
        <v>21</v>
      </c>
      <c r="E35" t="s">
        <v>45</v>
      </c>
    </row>
    <row r="36" spans="1:8" ht="16.5" customHeight="1" x14ac:dyDescent="0.2">
      <c r="A36" s="7"/>
      <c r="B36" s="10"/>
      <c r="D36" t="s">
        <v>22</v>
      </c>
      <c r="E36" t="s">
        <v>46</v>
      </c>
      <c r="H36" s="3"/>
    </row>
    <row r="37" spans="1:8" ht="16.5" customHeight="1" x14ac:dyDescent="0.25">
      <c r="A37" s="7"/>
      <c r="B37" s="10"/>
      <c r="D37" s="5"/>
      <c r="H37" s="3"/>
    </row>
    <row r="38" spans="1:8" ht="16.5" customHeight="1" x14ac:dyDescent="0.25">
      <c r="A38" s="24" t="s">
        <v>27</v>
      </c>
      <c r="B38" s="10"/>
      <c r="D38" s="5"/>
      <c r="H38" s="3"/>
    </row>
    <row r="39" spans="1:8" ht="16.5" customHeight="1" x14ac:dyDescent="0.25">
      <c r="A39">
        <v>1</v>
      </c>
      <c r="B39" s="9" t="str">
        <f>INDEX(D40:D43,A39,1)</f>
        <v>не требуется</v>
      </c>
      <c r="C39" s="15" t="str">
        <f>VLOOKUP(B39,Таблица5[#All],2,)</f>
        <v/>
      </c>
      <c r="D39" s="1" t="s">
        <v>16</v>
      </c>
      <c r="E39" s="17" t="s">
        <v>18</v>
      </c>
    </row>
    <row r="40" spans="1:8" ht="16.5" customHeight="1" x14ac:dyDescent="0.2">
      <c r="D40" t="str">
        <f>IF(A8=1,"не требуется","")</f>
        <v>не требуется</v>
      </c>
      <c r="E40" s="20" t="str">
        <f>IF(A8=1,"","")</f>
        <v/>
      </c>
    </row>
    <row r="41" spans="1:8" ht="16.5" customHeight="1" x14ac:dyDescent="0.2">
      <c r="D41" t="str">
        <f>IF(A8=1,"Кронштейн","")</f>
        <v>Кронштейн</v>
      </c>
      <c r="E41" s="18" t="str">
        <f>IF(A8=1,"Кронштейн в сборе K005.24","")</f>
        <v>Кронштейн в сборе K005.24</v>
      </c>
    </row>
    <row r="42" spans="1:8" ht="16.5" customHeight="1" x14ac:dyDescent="0.2">
      <c r="D42" t="str">
        <f>IF(A8=1,"Кронштейн магнитный","")</f>
        <v>Кронштейн магнитный</v>
      </c>
      <c r="E42" s="18" t="str">
        <f>IF(A8=1,"Крепление магнитное K005.17-02","")</f>
        <v>Крепление магнитное K005.17-02</v>
      </c>
    </row>
    <row r="43" spans="1:8" ht="16.5" customHeight="1" x14ac:dyDescent="0.2">
      <c r="D43" t="str">
        <f>IF(A8=1,"другое","")</f>
        <v>другое</v>
      </c>
      <c r="E43" s="19" t="str">
        <f>IF(A8=1,"Крепление: "&amp;'Опросный лист дальномер'!I14,"")</f>
        <v xml:space="preserve">Крепление: </v>
      </c>
    </row>
    <row r="44" spans="1:8" ht="16.5" customHeight="1" x14ac:dyDescent="0.2">
      <c r="E44" s="21"/>
      <c r="F44" s="21"/>
    </row>
    <row r="45" spans="1:8" ht="16.5" customHeight="1" x14ac:dyDescent="0.2">
      <c r="A45" s="24" t="s">
        <v>36</v>
      </c>
      <c r="E45" s="21"/>
      <c r="F45" s="21"/>
    </row>
    <row r="46" spans="1:8" ht="16.5" customHeight="1" x14ac:dyDescent="0.2">
      <c r="A46">
        <v>1</v>
      </c>
      <c r="B46" s="9" t="str">
        <f>INDEX(Таблица6[Столбец1],A46,1)</f>
        <v/>
      </c>
      <c r="C46" s="15" t="str">
        <f>INDEX(Таблица6[Столбец2],A46,1)</f>
        <v/>
      </c>
      <c r="D46" t="s">
        <v>16</v>
      </c>
      <c r="E46" s="21" t="s">
        <v>17</v>
      </c>
      <c r="F46" s="21"/>
    </row>
    <row r="47" spans="1:8" ht="16.5" customHeight="1" x14ac:dyDescent="0.2">
      <c r="C47" s="15" t="str">
        <f>IF(C46="","","Требуется согласование. Для более точного подбора фланца укажите в дополнительных требованиях: а) DN; б) PN; в) номер типа фланца; г) размерный ряд (1 или 2); д) исполнение уплотнительной поверхности по ГОСТ 33259-2015.")</f>
        <v/>
      </c>
      <c r="D47" t="str">
        <f>IF(Лист1!A8=1,"","не требуется")</f>
        <v/>
      </c>
      <c r="E47" s="22" t="str">
        <f>IF(Лист1!A8=1,"","")</f>
        <v/>
      </c>
      <c r="F47" s="21"/>
    </row>
    <row r="48" spans="1:8" ht="16.5" customHeight="1" x14ac:dyDescent="0.2">
      <c r="D48" t="str">
        <f>IF(Лист1!A8=1,"","DN80")</f>
        <v/>
      </c>
      <c r="E48" t="str">
        <f>IF(Лист1!A8=1,"","Переход фланцевый DN80-65")</f>
        <v/>
      </c>
      <c r="F48" s="21"/>
    </row>
    <row r="49" spans="1:6" ht="16.5" customHeight="1" x14ac:dyDescent="0.2">
      <c r="D49" t="str">
        <f>IF(Лист1!A8=1,"","DN100")</f>
        <v/>
      </c>
      <c r="E49" t="str">
        <f>IF(Лист1!A8=1,"","Переход фланцевый DN100-65")</f>
        <v/>
      </c>
      <c r="F49" s="21"/>
    </row>
    <row r="50" spans="1:6" ht="16.5" customHeight="1" x14ac:dyDescent="0.2">
      <c r="D50" t="str">
        <f>IF(Лист1!A8=1,"","DN150")</f>
        <v/>
      </c>
      <c r="E50" t="str">
        <f>IF(Лист1!A8=1,"","Переход фланцевый DN150-65")</f>
        <v/>
      </c>
      <c r="F50" s="21"/>
    </row>
    <row r="51" spans="1:6" ht="16.5" customHeight="1" x14ac:dyDescent="0.2">
      <c r="D51" t="str">
        <f>IF(Лист1!A8=1,"","DN200")</f>
        <v/>
      </c>
      <c r="E51" t="str">
        <f>IF(Лист1!A8=1,"","Переход фланцевый DN200-65")</f>
        <v/>
      </c>
      <c r="F51" s="21"/>
    </row>
    <row r="52" spans="1:6" ht="16.5" customHeight="1" x14ac:dyDescent="0.2">
      <c r="D52" t="str">
        <f>IF(Лист1!A8=1,"","DN250")</f>
        <v/>
      </c>
      <c r="E52" t="str">
        <f>IF(Лист1!A8=1,"","Переход фланцевый DN250-65")</f>
        <v/>
      </c>
      <c r="F52" s="21"/>
    </row>
    <row r="53" spans="1:6" ht="16.5" customHeight="1" x14ac:dyDescent="0.2">
      <c r="D53" t="str">
        <f>IF(Лист1!A8=1,"","другой")</f>
        <v/>
      </c>
      <c r="E53" t="str">
        <f>IF(Лист1!A8=1,"","Переход фланцевый: "&amp;'Опросный лист дальномер'!I16)</f>
        <v/>
      </c>
      <c r="F53" s="21"/>
    </row>
    <row r="54" spans="1:6" ht="16.5" customHeight="1" x14ac:dyDescent="0.2">
      <c r="E54" s="21"/>
      <c r="F54" s="21"/>
    </row>
    <row r="55" spans="1:6" ht="16.5" customHeight="1" x14ac:dyDescent="0.25">
      <c r="A55" s="45" t="s">
        <v>25</v>
      </c>
      <c r="B55" s="46"/>
      <c r="C55" s="46"/>
      <c r="D55" s="46"/>
      <c r="E55" s="46"/>
    </row>
    <row r="56" spans="1:6" ht="16.5" customHeight="1" x14ac:dyDescent="0.25">
      <c r="A56" s="47">
        <v>1</v>
      </c>
      <c r="B56" s="47" t="str">
        <f>INDEX(D57:D58,A56,1)</f>
        <v>не требуется</v>
      </c>
      <c r="C56" s="48" t="str">
        <f>VLOOKUP(B56,Таблица612[#All],2,)</f>
        <v/>
      </c>
      <c r="D56" s="49" t="s">
        <v>16</v>
      </c>
      <c r="E56" s="49" t="s">
        <v>17</v>
      </c>
    </row>
    <row r="57" spans="1:6" ht="16.5" customHeight="1" x14ac:dyDescent="0.25">
      <c r="A57" s="50"/>
      <c r="B57" s="51"/>
      <c r="C57" s="50"/>
      <c r="D57" s="49" t="s">
        <v>9</v>
      </c>
      <c r="E57" s="52" t="s">
        <v>13</v>
      </c>
    </row>
    <row r="58" spans="1:6" ht="16.5" customHeight="1" x14ac:dyDescent="0.25">
      <c r="A58" s="50"/>
      <c r="B58" s="51"/>
      <c r="C58" s="50"/>
      <c r="D58" s="49" t="s">
        <v>14</v>
      </c>
      <c r="E58" s="49" t="s">
        <v>26</v>
      </c>
    </row>
    <row r="60" spans="1:6" ht="16.5" customHeight="1" x14ac:dyDescent="0.25">
      <c r="A60" t="str">
        <f>"Дальномер-уровнемер"&amp;C8</f>
        <v>Дальномер-уровнемер</v>
      </c>
      <c r="C60" s="1"/>
    </row>
    <row r="61" spans="1:6" ht="16.5" customHeight="1" x14ac:dyDescent="0.25">
      <c r="A61" s="14" t="s">
        <v>39</v>
      </c>
      <c r="C61" s="1"/>
    </row>
    <row r="62" spans="1:6" ht="16.5" customHeight="1" x14ac:dyDescent="0.25">
      <c r="A62" s="15" t="str">
        <f>A60&amp;A61&amp;" ("&amp;C13&amp;C23&amp;C28&amp;C34&amp;")"</f>
        <v>Дальномер-уровнемер "Автон" (1м, LoRa)</v>
      </c>
      <c r="B62" s="16"/>
      <c r="C62" s="13"/>
    </row>
    <row r="63" spans="1:6" ht="16.5" customHeight="1" x14ac:dyDescent="0.25">
      <c r="C63" s="1"/>
    </row>
    <row r="64" spans="1:6" ht="16.5" customHeight="1" x14ac:dyDescent="0.25">
      <c r="A64" t="s">
        <v>19</v>
      </c>
      <c r="C64" s="1"/>
    </row>
    <row r="65" spans="1:3" ht="16.5" customHeight="1" x14ac:dyDescent="0.25">
      <c r="A65" s="15" t="str">
        <f>C39</f>
        <v/>
      </c>
      <c r="B65" s="16"/>
      <c r="C65" s="13"/>
    </row>
    <row r="66" spans="1:3" ht="16.5" customHeight="1" x14ac:dyDescent="0.25">
      <c r="A66" s="15" t="str">
        <f>C46</f>
        <v/>
      </c>
      <c r="B66" s="16"/>
      <c r="C66" s="13"/>
    </row>
    <row r="69" spans="1:3" ht="16.5" customHeight="1" x14ac:dyDescent="0.2">
      <c r="A69" s="65" t="s">
        <v>40</v>
      </c>
    </row>
    <row r="70" spans="1:3" ht="16.5" customHeight="1" x14ac:dyDescent="0.2">
      <c r="A70" s="9" t="s">
        <v>41</v>
      </c>
      <c r="B70" s="66" t="s">
        <v>42</v>
      </c>
    </row>
    <row r="71" spans="1:3" ht="16.5" customHeight="1" x14ac:dyDescent="0.2">
      <c r="A71" s="9" t="s">
        <v>43</v>
      </c>
      <c r="B71" s="66" t="s">
        <v>44</v>
      </c>
    </row>
    <row r="72" spans="1:3" ht="16.5" customHeight="1" x14ac:dyDescent="0.2">
      <c r="A72" s="9" t="s">
        <v>47</v>
      </c>
      <c r="B72" s="66" t="s">
        <v>48</v>
      </c>
    </row>
    <row r="73" spans="1:3" ht="16.5" customHeight="1" x14ac:dyDescent="0.2">
      <c r="A73" s="9" t="s">
        <v>49</v>
      </c>
      <c r="B73" s="66" t="s">
        <v>50</v>
      </c>
    </row>
    <row r="74" spans="1:3" ht="16.5" customHeight="1" x14ac:dyDescent="0.2">
      <c r="A74" s="9" t="s">
        <v>53</v>
      </c>
      <c r="B74" s="66" t="s">
        <v>54</v>
      </c>
    </row>
    <row r="75" spans="1:3" ht="16.5" customHeight="1" x14ac:dyDescent="0.2">
      <c r="A75" s="9" t="s">
        <v>57</v>
      </c>
      <c r="B75" s="66" t="s">
        <v>58</v>
      </c>
    </row>
    <row r="92" spans="1:2" ht="16.5" customHeight="1" x14ac:dyDescent="0.3">
      <c r="A92" s="4"/>
      <c r="B92" s="11"/>
    </row>
  </sheetData>
  <mergeCells count="1">
    <mergeCell ref="A1:B1"/>
  </mergeCells>
  <pageMargins left="0.6692913385826772" right="0.15748031496062992" top="0.35433070866141736" bottom="0.27559055118110237" header="0.19685039370078741" footer="0.23622047244094491"/>
  <pageSetup paperSize="9" scale="78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8"/>
  <sheetViews>
    <sheetView zoomScaleNormal="100" workbookViewId="0">
      <selection activeCell="F5" sqref="F5"/>
    </sheetView>
  </sheetViews>
  <sheetFormatPr defaultRowHeight="12.75" x14ac:dyDescent="0.2"/>
  <cols>
    <col min="1" max="1" width="4.7109375" customWidth="1"/>
    <col min="2" max="2" width="34.28515625" customWidth="1"/>
    <col min="3" max="3" width="54.7109375" customWidth="1"/>
  </cols>
  <sheetData>
    <row r="1" spans="1:3" ht="23.25" customHeight="1" x14ac:dyDescent="0.2">
      <c r="A1" s="43" t="s">
        <v>30</v>
      </c>
    </row>
    <row r="2" spans="1:3" ht="17.25" customHeight="1" x14ac:dyDescent="0.2">
      <c r="A2" s="43"/>
      <c r="B2" s="66" t="s">
        <v>37</v>
      </c>
      <c r="C2" s="66" t="s">
        <v>38</v>
      </c>
    </row>
    <row r="3" spans="1:3" ht="195" customHeight="1" x14ac:dyDescent="0.2"/>
    <row r="4" spans="1:3" ht="17.25" customHeight="1" x14ac:dyDescent="0.2">
      <c r="B4" t="s">
        <v>56</v>
      </c>
    </row>
    <row r="5" spans="1:3" ht="251.25" customHeight="1" x14ac:dyDescent="0.2">
      <c r="B5" s="98"/>
      <c r="C5" s="98"/>
    </row>
    <row r="6" spans="1:3" ht="23.25" customHeight="1" x14ac:dyDescent="0.2">
      <c r="A6" s="43" t="s">
        <v>28</v>
      </c>
      <c r="B6" s="41"/>
    </row>
    <row r="7" spans="1:3" ht="14.25" x14ac:dyDescent="0.2">
      <c r="A7" s="42"/>
      <c r="B7" s="66" t="s">
        <v>51</v>
      </c>
      <c r="C7" s="66" t="s">
        <v>52</v>
      </c>
    </row>
    <row r="8" spans="1:3" ht="407.25" customHeight="1" x14ac:dyDescent="0.2">
      <c r="A8" s="42"/>
      <c r="B8" s="42"/>
    </row>
  </sheetData>
  <mergeCells count="1">
    <mergeCell ref="B5:C5"/>
  </mergeCells>
  <pageMargins left="0.7" right="0.35" top="0.46" bottom="0.75" header="0.3" footer="0.3"/>
  <pageSetup paperSize="9" orientation="portrait" horizontalDpi="4294967292" verticalDpi="1200" r:id="rId1"/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Опросный лист дальномер</vt:lpstr>
      <vt:lpstr>Лист1</vt:lpstr>
      <vt:lpstr>Справка</vt:lpstr>
      <vt:lpstr>'Опросный лист дальномер'!Область_печати</vt:lpstr>
      <vt:lpstr>С_креплением_магнитным</vt:lpstr>
    </vt:vector>
  </TitlesOfParts>
  <Company>нефтегаз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Кукина Ольга</cp:lastModifiedBy>
  <cp:lastPrinted>2025-05-20T14:15:29Z</cp:lastPrinted>
  <dcterms:created xsi:type="dcterms:W3CDTF">2008-11-24T06:26:29Z</dcterms:created>
  <dcterms:modified xsi:type="dcterms:W3CDTF">2025-05-20T14:31:34Z</dcterms:modified>
</cp:coreProperties>
</file>